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ettings" sheetId="2" r:id="rId4"/>
    <sheet state="visible" name="Update-Config" sheetId="3" r:id="rId5"/>
  </sheets>
  <definedNames/>
  <calcPr/>
</workbook>
</file>

<file path=xl/sharedStrings.xml><?xml version="1.0" encoding="utf-8"?>
<sst xmlns="http://schemas.openxmlformats.org/spreadsheetml/2006/main" count="1639" uniqueCount="1583">
  <si>
    <t>en</t>
  </si>
  <si>
    <t>hi</t>
  </si>
  <si>
    <t>ar</t>
  </si>
  <si>
    <t>fr</t>
  </si>
  <si>
    <t>tr</t>
  </si>
  <si>
    <t>ru</t>
  </si>
  <si>
    <t>it</t>
  </si>
  <si>
    <t>de</t>
  </si>
  <si>
    <t>ko</t>
  </si>
  <si>
    <t>zh</t>
  </si>
  <si>
    <t>es</t>
  </si>
  <si>
    <t>iw</t>
  </si>
  <si>
    <t>bn</t>
  </si>
  <si>
    <t>pt</t>
  </si>
  <si>
    <t>text_enter_social</t>
  </si>
  <si>
    <t>Or Enter Social Media</t>
  </si>
  <si>
    <t>text_sign_up</t>
  </si>
  <si>
    <t>Sign Up</t>
  </si>
  <si>
    <t>تسجيل جديد</t>
  </si>
  <si>
    <t>text_track_location</t>
  </si>
  <si>
    <t>Tracking Driver Location</t>
  </si>
  <si>
    <t>text_keep_track</t>
  </si>
  <si>
    <t>text_skip</t>
  </si>
  <si>
    <t>Skip</t>
  </si>
  <si>
    <t>تخطي</t>
  </si>
  <si>
    <t>text_next</t>
  </si>
  <si>
    <t>Next</t>
  </si>
  <si>
    <t>التالي</t>
  </si>
  <si>
    <t>text_your_ride</t>
  </si>
  <si>
    <t>Your Ride, On Demand</t>
  </si>
  <si>
    <t>text_login</t>
  </si>
  <si>
    <t>Login</t>
  </si>
  <si>
    <t>تسجيل الدخول</t>
  </si>
  <si>
    <t>text_phone_number</t>
  </si>
  <si>
    <t>Enter Mobile Number</t>
  </si>
  <si>
    <t>اكتب رقم موبايلك</t>
  </si>
  <si>
    <t>text_get_started</t>
  </si>
  <si>
    <t>Let's Get Started!</t>
  </si>
  <si>
    <t>يلا نبدأ !</t>
  </si>
  <si>
    <t>text_fill_form</t>
  </si>
  <si>
    <t>Fill the form to continue.</t>
  </si>
  <si>
    <t>عبي النموذج للمتابعة</t>
  </si>
  <si>
    <t>text_signup_social</t>
  </si>
  <si>
    <t>Sign up with Social of fill the form to continue.</t>
  </si>
  <si>
    <t>سجل عن طريق حسابات التواصل الاجتماعي , عبي النموذج للمتابعة</t>
  </si>
  <si>
    <t>text_email</t>
  </si>
  <si>
    <t>Email</t>
  </si>
  <si>
    <t>بريدك الإلكتروني</t>
  </si>
  <si>
    <t>text_name</t>
  </si>
  <si>
    <t>Name</t>
  </si>
  <si>
    <t>اسمك الكريم</t>
  </si>
  <si>
    <t>text_agree</t>
  </si>
  <si>
    <t>By Signing up, you agree to the</t>
  </si>
  <si>
    <t xml:space="preserve">بالتسجيل, إنت موافق على </t>
  </si>
  <si>
    <t>text_terms</t>
  </si>
  <si>
    <t>Terms of Service</t>
  </si>
  <si>
    <t>شروط الخدمة</t>
  </si>
  <si>
    <t>text_and</t>
  </si>
  <si>
    <t>and</t>
  </si>
  <si>
    <t>و</t>
  </si>
  <si>
    <t>text_privacy</t>
  </si>
  <si>
    <t>Privacy Policy</t>
  </si>
  <si>
    <t>سياسة الخصوصية</t>
  </si>
  <si>
    <t>text_fastest_way</t>
  </si>
  <si>
    <t>Fastest way to book Taxi without the hassle of waiting &amp; haggling of price</t>
  </si>
  <si>
    <t>اسرع طريقة لتطلب سيارة من دون ما تستنى او تفاصل</t>
  </si>
  <si>
    <t>text_phone_verify</t>
  </si>
  <si>
    <t>Phone Verification</t>
  </si>
  <si>
    <t>التحقق من رقم الموبايل</t>
  </si>
  <si>
    <t>text_enter_otp</t>
  </si>
  <si>
    <t>Please enter the 6-digit code send to you at</t>
  </si>
  <si>
    <t>يا ريت تكتب الرمز المكون من 6 أرقام واللي تم إرساله الك على</t>
  </si>
  <si>
    <t>text_resend_code</t>
  </si>
  <si>
    <t>Resend Code</t>
  </si>
  <si>
    <t>ارسل الرمز كمان مرة</t>
  </si>
  <si>
    <t>text_verify</t>
  </si>
  <si>
    <t>Verify Now</t>
  </si>
  <si>
    <t>تحقق الآن</t>
  </si>
  <si>
    <t>text_pick_up_location</t>
  </si>
  <si>
    <t>Pick up Location</t>
  </si>
  <si>
    <t>موقع الركوب</t>
  </si>
  <si>
    <t>text_drop</t>
  </si>
  <si>
    <t>Drop Location</t>
  </si>
  <si>
    <t>موقع التنزيل</t>
  </si>
  <si>
    <t>text_daily</t>
  </si>
  <si>
    <t>Daily</t>
  </si>
  <si>
    <t>يومي</t>
  </si>
  <si>
    <t>text_rental</t>
  </si>
  <si>
    <t>Rental</t>
  </si>
  <si>
    <t>أجار</t>
  </si>
  <si>
    <t>text_search</t>
  </si>
  <si>
    <t>Search</t>
  </si>
  <si>
    <t>بحث</t>
  </si>
  <si>
    <t>text_pick_up</t>
  </si>
  <si>
    <t>Pick-up</t>
  </si>
  <si>
    <t>ركوب</t>
  </si>
  <si>
    <t>text_confirm</t>
  </si>
  <si>
    <t>Confirm</t>
  </si>
  <si>
    <t>تأكيد</t>
  </si>
  <si>
    <t>text_favourites</t>
  </si>
  <si>
    <t>Favourites</t>
  </si>
  <si>
    <t>المفضلة</t>
  </si>
  <si>
    <t>text_clear</t>
  </si>
  <si>
    <t>Clear</t>
  </si>
  <si>
    <t>مسح</t>
  </si>
  <si>
    <t>text_vehicle_make</t>
  </si>
  <si>
    <t>What make of vehicle is it?</t>
  </si>
  <si>
    <t>ماركة سيارتك</t>
  </si>
  <si>
    <t>text_continue</t>
  </si>
  <si>
    <t>Continue</t>
  </si>
  <si>
    <t>تابع</t>
  </si>
  <si>
    <t>text_vehicle_model</t>
  </si>
  <si>
    <t>What model of vehicle is it?</t>
  </si>
  <si>
    <t>فئة سيارتك</t>
  </si>
  <si>
    <t>text_service_location</t>
  </si>
  <si>
    <t>What service location you want to register?</t>
  </si>
  <si>
    <t>اختار موقع الخدمة يلي حابب تسجل فيه</t>
  </si>
  <si>
    <t>text_vehicle_type</t>
  </si>
  <si>
    <t>What type of vehicle is it?</t>
  </si>
  <si>
    <t>نوع سيارتك</t>
  </si>
  <si>
    <t>text_vehicle_color</t>
  </si>
  <si>
    <t>What color of vehicle is it?</t>
  </si>
  <si>
    <t>لون سيارتك</t>
  </si>
  <si>
    <t>text_license</t>
  </si>
  <si>
    <t>Vehicle Number</t>
  </si>
  <si>
    <t>رقم اللوحة</t>
  </si>
  <si>
    <t>text_enter_vehicle</t>
  </si>
  <si>
    <t>Enter Your Vehicle Number</t>
  </si>
  <si>
    <t>اكتب رقم لوحة السيارة</t>
  </si>
  <si>
    <t>text_vehicle_model_year</t>
  </si>
  <si>
    <t>What is the Vehicle's model year</t>
  </si>
  <si>
    <t>سنة الصنع للسيارة</t>
  </si>
  <si>
    <t>text_apply_referral</t>
  </si>
  <si>
    <t>Apply Referral</t>
  </si>
  <si>
    <t>text_enter_referral</t>
  </si>
  <si>
    <t>Enter Referral Code</t>
  </si>
  <si>
    <t>text_apply</t>
  </si>
  <si>
    <t>Apply</t>
  </si>
  <si>
    <t>text_manage_docs</t>
  </si>
  <si>
    <t>Manage Documents</t>
  </si>
  <si>
    <t>إدارة المستندات</t>
  </si>
  <si>
    <t>text_passport</t>
  </si>
  <si>
    <t>Passport</t>
  </si>
  <si>
    <t>جواز السفر</t>
  </si>
  <si>
    <t>text_not_uploaded</t>
  </si>
  <si>
    <t>Not Uploaded</t>
  </si>
  <si>
    <t xml:space="preserve">ما تحملت </t>
  </si>
  <si>
    <t>text_uploaded</t>
  </si>
  <si>
    <t>Uploaded</t>
  </si>
  <si>
    <t>تم الرفع على السيرفر</t>
  </si>
  <si>
    <t>text_upload</t>
  </si>
  <si>
    <t>Upload</t>
  </si>
  <si>
    <t>رفع</t>
  </si>
  <si>
    <t>text_approval_waiting</t>
  </si>
  <si>
    <t>Verification Pending</t>
  </si>
  <si>
    <t>خليك معانا شوي , جار التحقق من الملفات</t>
  </si>
  <si>
    <t>text_send_approval</t>
  </si>
  <si>
    <t>Your document is still pending for verification. Once it's all verified you start getting rides. Please sit tight</t>
  </si>
  <si>
    <t>المستندات ما زالت تحت التدقيق, أول ما يتوافق عليها, بتبلش رحلتك مع عائلتنا</t>
  </si>
  <si>
    <t>text_upload_docs</t>
  </si>
  <si>
    <t>Upload Documents</t>
  </si>
  <si>
    <t>رفع المستندات</t>
  </si>
  <si>
    <t>text_choose_language</t>
  </si>
  <si>
    <t>Choose Language</t>
  </si>
  <si>
    <t>اختار لغتك</t>
  </si>
  <si>
    <t>text_enter_vehicle_model_year</t>
  </si>
  <si>
    <t>Enter your Vehicle Model Year</t>
  </si>
  <si>
    <t>اكتب سنة صنع السيارة</t>
  </si>
  <si>
    <t>Text_enter_vehicle_color</t>
  </si>
  <si>
    <t>Enter Your Vehicle Color</t>
  </si>
  <si>
    <t>اكتب لون سيارتك</t>
  </si>
  <si>
    <t>text_edit_docs</t>
  </si>
  <si>
    <t>Update Documents</t>
  </si>
  <si>
    <t>text_account_blocked</t>
  </si>
  <si>
    <t>Account Blocked</t>
  </si>
  <si>
    <t>الحساب توقف بشكل مؤقت</t>
  </si>
  <si>
    <t>text_document_rejected</t>
  </si>
  <si>
    <t>Your Account is blocked for the following reasons</t>
  </si>
  <si>
    <t>الحساب توقف لواحد من الأسباب التالية</t>
  </si>
  <si>
    <t>text_contact_admin</t>
  </si>
  <si>
    <t>Contact your Admin</t>
  </si>
  <si>
    <t>اتصل بالإدارة</t>
  </si>
  <si>
    <t>text_enable_location</t>
  </si>
  <si>
    <t>Please Enable Your Location</t>
  </si>
  <si>
    <t>يا ريت تفعل موقعك</t>
  </si>
  <si>
    <t>text_ok</t>
  </si>
  <si>
    <t>Ok</t>
  </si>
  <si>
    <t>موافق</t>
  </si>
  <si>
    <t>text_loc_permission</t>
  </si>
  <si>
    <t>Allow Location all the time - To book a vehicle</t>
  </si>
  <si>
    <t>خلي الموقع شغال على طول - لتحجز رحلتك</t>
  </si>
  <si>
    <t>text_off_duty</t>
  </si>
  <si>
    <t>On Duty</t>
  </si>
  <si>
    <t>text_on_duty</t>
  </si>
  <si>
    <t>Off Duty</t>
  </si>
  <si>
    <t>text_pickpoint</t>
  </si>
  <si>
    <t>Pickup point</t>
  </si>
  <si>
    <t>مكانان التحميل</t>
  </si>
  <si>
    <t>text_droppoint</t>
  </si>
  <si>
    <t>Dropout point</t>
  </si>
  <si>
    <t>مكان التنزيل</t>
  </si>
  <si>
    <t>text_decline</t>
  </si>
  <si>
    <t>Decline</t>
  </si>
  <si>
    <t>رفض</t>
  </si>
  <si>
    <t>text_accept</t>
  </si>
  <si>
    <t>Accept</t>
  </si>
  <si>
    <t>قبول</t>
  </si>
  <si>
    <t>text_call</t>
  </si>
  <si>
    <t>Call</t>
  </si>
  <si>
    <t>إتصل</t>
  </si>
  <si>
    <t>text_chat</t>
  </si>
  <si>
    <t>Chat</t>
  </si>
  <si>
    <t>دردش</t>
  </si>
  <si>
    <t>text_cancel</t>
  </si>
  <si>
    <t>Cancel</t>
  </si>
  <si>
    <t>إلغي</t>
  </si>
  <si>
    <t>text_arrived</t>
  </si>
  <si>
    <t>Arrived</t>
  </si>
  <si>
    <t>وصلت</t>
  </si>
  <si>
    <t>text_youareonline</t>
  </si>
  <si>
    <t>You are Online now</t>
  </si>
  <si>
    <t>انت هلأ متصل</t>
  </si>
  <si>
    <t>text_youareoffline</t>
  </si>
  <si>
    <t>You are Offline now</t>
  </si>
  <si>
    <t>أنت هلأ خارج الخدمة</t>
  </si>
  <si>
    <t>text_arriving</t>
  </si>
  <si>
    <t>Arriving</t>
  </si>
  <si>
    <t>بالطريق</t>
  </si>
  <si>
    <t>text_onride</t>
  </si>
  <si>
    <t>Reaching Destination</t>
  </si>
  <si>
    <t>بالطريق للتوصيل</t>
  </si>
  <si>
    <t>text_startride</t>
  </si>
  <si>
    <t>Start Ride</t>
  </si>
  <si>
    <t>بلش الرحلة</t>
  </si>
  <si>
    <t>text_endtrip</t>
  </si>
  <si>
    <t>End Trip</t>
  </si>
  <si>
    <t>انهي الرحلة</t>
  </si>
  <si>
    <t>text_driver_otp</t>
  </si>
  <si>
    <t>Enter OTP</t>
  </si>
  <si>
    <t>ادخل OTP</t>
  </si>
  <si>
    <t>text_enterdriverotp</t>
  </si>
  <si>
    <t>Enter the OTP displayed in Customer's App to start the ride</t>
  </si>
  <si>
    <t>ادخل OTP الموجود على تطبيق الراكب لتبلش الرحلة</t>
  </si>
  <si>
    <t>text_enable_history</t>
  </si>
  <si>
    <t>History</t>
  </si>
  <si>
    <t>السجل</t>
  </si>
  <si>
    <t>text_enable_wallet</t>
  </si>
  <si>
    <t>Wallet</t>
  </si>
  <si>
    <t>المحفظة</t>
  </si>
  <si>
    <t>text_enable_referal</t>
  </si>
  <si>
    <t>Referral</t>
  </si>
  <si>
    <t>text_faq</t>
  </si>
  <si>
    <t>FAQ</t>
  </si>
  <si>
    <t>الاسئلة الشائعة</t>
  </si>
  <si>
    <t>text_sos</t>
  </si>
  <si>
    <t>SOS</t>
  </si>
  <si>
    <t>text_change_language</t>
  </si>
  <si>
    <t>Change Language</t>
  </si>
  <si>
    <t xml:space="preserve">غير اللغة </t>
  </si>
  <si>
    <t>text_about</t>
  </si>
  <si>
    <t>About</t>
  </si>
  <si>
    <t>عن مشوار</t>
  </si>
  <si>
    <t>text_logout</t>
  </si>
  <si>
    <t>Logout</t>
  </si>
  <si>
    <t>text_tripsummary</t>
  </si>
  <si>
    <t>Trip Summary</t>
  </si>
  <si>
    <t>خًلاصة الرحلة</t>
  </si>
  <si>
    <t>text_reference</t>
  </si>
  <si>
    <t>Reference Number</t>
  </si>
  <si>
    <t>الرقم المرجعي</t>
  </si>
  <si>
    <t>text_rideType</t>
  </si>
  <si>
    <t>Type of Ride</t>
  </si>
  <si>
    <t>نوع الرحلة</t>
  </si>
  <si>
    <t>text_distance</t>
  </si>
  <si>
    <t>Distance</t>
  </si>
  <si>
    <t>المسافة المقطوعة</t>
  </si>
  <si>
    <t>text_duration</t>
  </si>
  <si>
    <t>Duration</t>
  </si>
  <si>
    <t xml:space="preserve">المدة </t>
  </si>
  <si>
    <t>text_tripfare</t>
  </si>
  <si>
    <t>Fare Breakup</t>
  </si>
  <si>
    <t>تفاصيل الأجرة</t>
  </si>
  <si>
    <t>text_baseprice</t>
  </si>
  <si>
    <t>Base Price</t>
  </si>
  <si>
    <t>السعر الأساسي</t>
  </si>
  <si>
    <t>text_taxes</t>
  </si>
  <si>
    <t>Taxes</t>
  </si>
  <si>
    <t>الضريبة</t>
  </si>
  <si>
    <t>text_distprice</t>
  </si>
  <si>
    <t>Distance Price</t>
  </si>
  <si>
    <t>سعر المسافة المقطوعة</t>
  </si>
  <si>
    <t>text_timeprice</t>
  </si>
  <si>
    <t>Time Price</t>
  </si>
  <si>
    <t>سعر الوقت</t>
  </si>
  <si>
    <t>text_cancelfee</t>
  </si>
  <si>
    <t>Cancellation Fee</t>
  </si>
  <si>
    <t>رسوم الألغاء</t>
  </si>
  <si>
    <t>text_convfee</t>
  </si>
  <si>
    <t>Convenience Fee</t>
  </si>
  <si>
    <t>رسوم ترفيه</t>
  </si>
  <si>
    <t>text_totalfare</t>
  </si>
  <si>
    <t>Total Fare</t>
  </si>
  <si>
    <t>الأجرة الكلية</t>
  </si>
  <si>
    <t>text_cash</t>
  </si>
  <si>
    <t>Cash</t>
  </si>
  <si>
    <t>نقداً</t>
  </si>
  <si>
    <t>text_trust_contact</t>
  </si>
  <si>
    <t>Trusted Contact</t>
  </si>
  <si>
    <t>الأصدقاء المقربين</t>
  </si>
  <si>
    <t>text_trust_contact_1</t>
  </si>
  <si>
    <t>Share your trip status</t>
  </si>
  <si>
    <t>شارك حالتك بالرحلة</t>
  </si>
  <si>
    <t>text_trust_contact_2</t>
  </si>
  <si>
    <t>You’ll be able to share your live location with one or more contacts during any trip</t>
  </si>
  <si>
    <t>رح تشارك موقعك المباشر مع شخص أو أكتر خلال أي رحلة</t>
  </si>
  <si>
    <t>text_trust_contact_3</t>
  </si>
  <si>
    <t>Set your emergency contacts</t>
  </si>
  <si>
    <t>text_trust_contact_4</t>
  </si>
  <si>
    <t>We suggest selecting responsive contacts for 
emergencies, like a local guardian or a friend nearby.</t>
  </si>
  <si>
    <t>text_add_trust_contact</t>
  </si>
  <si>
    <t>Share information and initiate automatic calls
with emergency contacts.</t>
  </si>
  <si>
    <t>text_submit</t>
  </si>
  <si>
    <t>Submit</t>
  </si>
  <si>
    <t>إرسال</t>
  </si>
  <si>
    <t>text_feedback</t>
  </si>
  <si>
    <t>Give your Feedback</t>
  </si>
  <si>
    <t>خبرنا بملاحظاتك</t>
  </si>
  <si>
    <t>text testing</t>
  </si>
  <si>
    <t>Testing</t>
  </si>
  <si>
    <t>تجربة</t>
  </si>
  <si>
    <t>text_cancel_reason</t>
  </si>
  <si>
    <t>Cancel Reason</t>
  </si>
  <si>
    <t>سبب الإلغاء</t>
  </si>
  <si>
    <t>text_cancelrequest</t>
  </si>
  <si>
    <t>Cancel Request</t>
  </si>
  <si>
    <t>إلغي الطلب</t>
  </si>
  <si>
    <t>text_entercancelreason</t>
  </si>
  <si>
    <t>Enter Cancel Reason</t>
  </si>
  <si>
    <t>خبرنا عن سبب الإلغاء</t>
  </si>
  <si>
    <t>text_pickdroplocation</t>
  </si>
  <si>
    <t>Choose Drop Location</t>
  </si>
  <si>
    <t>اختار مكان الركوب</t>
  </si>
  <si>
    <t>text_choosepicklocation</t>
  </si>
  <si>
    <t>Choose Pick Location</t>
  </si>
  <si>
    <t>اختار موقع الركوب</t>
  </si>
  <si>
    <t>text_fav_address</t>
  </si>
  <si>
    <t>Favourite Address</t>
  </si>
  <si>
    <t>عنوانك المفضل</t>
  </si>
  <si>
    <t>text_pick_suggestion</t>
  </si>
  <si>
    <t>Pickup Suggestion</t>
  </si>
  <si>
    <t>اقترح مكان الركوب</t>
  </si>
  <si>
    <t>text_drop_suggestion</t>
  </si>
  <si>
    <t>Drop Suggestion</t>
  </si>
  <si>
    <t>اقترح مكان الاسقاط</t>
  </si>
  <si>
    <t>text_chooseonmap</t>
  </si>
  <si>
    <t>Locate on Map</t>
  </si>
  <si>
    <t>حدد الموقع على الخريطة</t>
  </si>
  <si>
    <t>text_4lettersforautofill</t>
  </si>
  <si>
    <t>search destination</t>
  </si>
  <si>
    <t>اكتب 4 حروف للبحث</t>
  </si>
  <si>
    <t>text_availablerides</t>
  </si>
  <si>
    <t>Suggested Rides</t>
  </si>
  <si>
    <t>الخدمات المتوفرة</t>
  </si>
  <si>
    <t>text_paymentmethod</t>
  </si>
  <si>
    <t>Payment Method</t>
  </si>
  <si>
    <t>طريقة الدفع</t>
  </si>
  <si>
    <t>text_choose_paynoworlater</t>
  </si>
  <si>
    <t>Choose your payment now or later</t>
  </si>
  <si>
    <t>اختار طريقة الدفع هلأ أو بعدين</t>
  </si>
  <si>
    <t>text_paycash</t>
  </si>
  <si>
    <t>Pay when trip ends</t>
  </si>
  <si>
    <t>أدفع لما يخلص المشوار</t>
  </si>
  <si>
    <t>text_paycard</t>
  </si>
  <si>
    <t>For seamless and contact less payment</t>
  </si>
  <si>
    <t>الدفع بدون لمس</t>
  </si>
  <si>
    <t>text_payupi</t>
  </si>
  <si>
    <t>For faster payment</t>
  </si>
  <si>
    <t>للدفع بطريقة أسرع</t>
  </si>
  <si>
    <t>text_paywallet</t>
  </si>
  <si>
    <t>For Instant payment</t>
  </si>
  <si>
    <t>للدفع الفوري</t>
  </si>
  <si>
    <t>text_payingvia</t>
  </si>
  <si>
    <t>Paying via</t>
  </si>
  <si>
    <t>ادفع عن طريق</t>
  </si>
  <si>
    <t>text_enterpromo</t>
  </si>
  <si>
    <t>Enter Promo Code</t>
  </si>
  <si>
    <t>اكتب رمز الخصم</t>
  </si>
  <si>
    <t>text_remove</t>
  </si>
  <si>
    <t>Remove</t>
  </si>
  <si>
    <t>امسح</t>
  </si>
  <si>
    <t>text_edit</t>
  </si>
  <si>
    <t>Edit</t>
  </si>
  <si>
    <t>تعديل</t>
  </si>
  <si>
    <t>text_promoaccepted</t>
  </si>
  <si>
    <t xml:space="preserve"> Coupon Applied</t>
  </si>
  <si>
    <t>تم اضافة الكوبون</t>
  </si>
  <si>
    <t>text_promorejected</t>
  </si>
  <si>
    <t>Invalid Coupon Code</t>
  </si>
  <si>
    <t>رمز الكوبون خطأ !</t>
  </si>
  <si>
    <t>text_findingdriver</t>
  </si>
  <si>
    <t>Looking for nearby drivers</t>
  </si>
  <si>
    <t>جار البحث عن أقرب كابتن متاح</t>
  </si>
  <si>
    <t>text_finddriverdesc</t>
  </si>
  <si>
    <t>We Are Looking For Nearby Driver To Accept Your Ride. Once Accepted You Can Ride With Us! We Appreciate Your Patience!</t>
  </si>
  <si>
    <t>text_pickup_instruction</t>
  </si>
  <si>
    <t>Any Instructions for pick up</t>
  </si>
  <si>
    <t>خبر الكابتن بتعليماتك</t>
  </si>
  <si>
    <t>text_shareride</t>
  </si>
  <si>
    <t>Share Ride</t>
  </si>
  <si>
    <t>شارك مشوارك</t>
  </si>
  <si>
    <t>text_ridecancel</t>
  </si>
  <si>
    <t>Are you sure to cancel ride</t>
  </si>
  <si>
    <t>إنت متأكد إنك بدك تلغي الرحلة</t>
  </si>
  <si>
    <t>text_ridecancel_desc</t>
  </si>
  <si>
    <t>Your ride will be cancelled and returned to main menu. This will lead to cancellation fee</t>
  </si>
  <si>
    <t>رح نلغلي الرحلة ونرجعك للقائمة الرئيسية, هاد الشي رح يترتب عليه غرامة إلغاء</t>
  </si>
  <si>
    <t>tex_dontcancel</t>
  </si>
  <si>
    <t>Don't Cancel</t>
  </si>
  <si>
    <t>لا تلغي</t>
  </si>
  <si>
    <t>text_cancelRideReason</t>
  </si>
  <si>
    <t>Reason for cancelling ride</t>
  </si>
  <si>
    <t>خبرنا عن سبب إلغاء الرحلة</t>
  </si>
  <si>
    <t>text_nodriver</t>
  </si>
  <si>
    <t>No Driver Found</t>
  </si>
  <si>
    <t>للأسف ما في كابتن قريب</t>
  </si>
  <si>
    <t>text_tryagain</t>
  </si>
  <si>
    <t>Try Again</t>
  </si>
  <si>
    <t>جرب كمان مرة</t>
  </si>
  <si>
    <t>text_ridelater</t>
  </si>
  <si>
    <t>Ride Later</t>
  </si>
  <si>
    <t>اركب بعدين</t>
  </si>
  <si>
    <t>text_ridenow</t>
  </si>
  <si>
    <t>Book Ride</t>
  </si>
  <si>
    <t>اركب الآن</t>
  </si>
  <si>
    <t>text_home</t>
  </si>
  <si>
    <t>Home</t>
  </si>
  <si>
    <t>البيت</t>
  </si>
  <si>
    <t>text_work</t>
  </si>
  <si>
    <t>Work</t>
  </si>
  <si>
    <t>الشغل</t>
  </si>
  <si>
    <t>text_others</t>
  </si>
  <si>
    <t>Others</t>
  </si>
  <si>
    <t>أماكن مختلفة</t>
  </si>
  <si>
    <t>text_enterfavname</t>
  </si>
  <si>
    <t>Enter Favourites Name</t>
  </si>
  <si>
    <t>اكتب اسمك المفضل</t>
  </si>
  <si>
    <t>text_confirmridelater</t>
  </si>
  <si>
    <t>Are you sure to choose ride in this time</t>
  </si>
  <si>
    <t>انت متأكد إنك رح تركب بهاد الوقت</t>
  </si>
  <si>
    <t>text_rideLaterSuccess</t>
  </si>
  <si>
    <t>Ride is confirmed successfully</t>
  </si>
  <si>
    <t>تم تأكيد المشوار بنجاح</t>
  </si>
  <si>
    <t>text_saveaddressas</t>
  </si>
  <si>
    <t>Save as Favourite</t>
  </si>
  <si>
    <t>حفظ كمفضل</t>
  </si>
  <si>
    <t>text_trustedtaxi</t>
  </si>
  <si>
    <t>Most Trusted Ride Booking App</t>
  </si>
  <si>
    <t>تطبيق حجز السيارات الاكثر ثقة</t>
  </si>
  <si>
    <t>text_allowpermission1</t>
  </si>
  <si>
    <t>To enjoy your ride experience</t>
  </si>
  <si>
    <t>لتنبسط بمشوارك</t>
  </si>
  <si>
    <t>text_allowpermission2</t>
  </si>
  <si>
    <t>Please allow us the following permissions</t>
  </si>
  <si>
    <t>يا ريت تسمحلنا بالأذونات التالية</t>
  </si>
  <si>
    <t>text_allow</t>
  </si>
  <si>
    <t>Allow</t>
  </si>
  <si>
    <t>text_drivercancelled</t>
  </si>
  <si>
    <t>Ride Cancelled by Driver</t>
  </si>
  <si>
    <t>الكابتن ألغى الرحلة</t>
  </si>
  <si>
    <t>text_cancelsuccess</t>
  </si>
  <si>
    <t>Ride Cancelled Successfully</t>
  </si>
  <si>
    <t>إلتغت الرحلة بنجاح</t>
  </si>
  <si>
    <t>text_notifyadmin</t>
  </si>
  <si>
    <t>Notify Admin</t>
  </si>
  <si>
    <t>خبر الإدارة</t>
  </si>
  <si>
    <t>text_notifysuccess</t>
  </si>
  <si>
    <t>Notified Successfully</t>
  </si>
  <si>
    <t>تم إعلام الإدارة بنجاح</t>
  </si>
  <si>
    <t>text_chatwithdriver</t>
  </si>
  <si>
    <t>Chat With</t>
  </si>
  <si>
    <t>دردش مع الكابتن</t>
  </si>
  <si>
    <t>text_entermessage</t>
  </si>
  <si>
    <t>Enter Message</t>
  </si>
  <si>
    <t xml:space="preserve">أكتب رسالتك </t>
  </si>
  <si>
    <t>text_newmessagereceived</t>
  </si>
  <si>
    <t>New Message Received</t>
  </si>
  <si>
    <t>وصلتك رسالة جديدة</t>
  </si>
  <si>
    <t>text_nointernet</t>
  </si>
  <si>
    <t>No Internet Connection</t>
  </si>
  <si>
    <t>ما في اتصال بالإنترنت</t>
  </si>
  <si>
    <t>text_nointernetdesc</t>
  </si>
  <si>
    <t>Please check your internet connection, try enabling wifi or try again later</t>
  </si>
  <si>
    <t>يا ريت تتأكد من اتصالك بالانترنت , حاول تفعل الواي - فاي أو جرب مرة تانية بعد شوي</t>
  </si>
  <si>
    <t>text_copyrights</t>
  </si>
  <si>
    <t>Copyrights</t>
  </si>
  <si>
    <t xml:space="preserve">حقوق الطبع والنشر </t>
  </si>
  <si>
    <t>text_termsandconditions</t>
  </si>
  <si>
    <t>Terms and Conditions</t>
  </si>
  <si>
    <t>text_yourTrustedContacts</t>
  </si>
  <si>
    <t>Your Trusted Contacts</t>
  </si>
  <si>
    <t>جهات الاتصال الموثوقة</t>
  </si>
  <si>
    <t>text_removeSos</t>
  </si>
  <si>
    <t>Are you sure to remove this contact from your trusted Contact</t>
  </si>
  <si>
    <t>متأكد من مسح جهة الاتصال هي من جهات الاتصال الموثوقة</t>
  </si>
  <si>
    <t>text_noDataFound</t>
  </si>
  <si>
    <t>No Data Found</t>
  </si>
  <si>
    <t>ما في معلومات</t>
  </si>
  <si>
    <t>text_removeFav</t>
  </si>
  <si>
    <t>Are you sure to remove this address from your favorites</t>
  </si>
  <si>
    <t>متاكد من إزالة العنوان الحالي من قائمة العناوين المفضلة</t>
  </si>
  <si>
    <t>text_invite</t>
  </si>
  <si>
    <t>Invite</t>
  </si>
  <si>
    <t>خَبَِر</t>
  </si>
  <si>
    <t>text_invitation_1</t>
  </si>
  <si>
    <t>Join me on 55! using my invite code</t>
  </si>
  <si>
    <t>انضم لعائلة مشوار عن طريق رمز دعوتي</t>
  </si>
  <si>
    <t>text_invitation_2</t>
  </si>
  <si>
    <t>To make easy your ride</t>
  </si>
  <si>
    <t>لتسهيل مشوارك</t>
  </si>
  <si>
    <t>text_upcoming</t>
  </si>
  <si>
    <t>Upcoming</t>
  </si>
  <si>
    <t>القادمة</t>
  </si>
  <si>
    <t>text_completed</t>
  </si>
  <si>
    <t>Completed</t>
  </si>
  <si>
    <t>تمت</t>
  </si>
  <si>
    <t>text_cancelled</t>
  </si>
  <si>
    <t>Cancelled</t>
  </si>
  <si>
    <t>ألغيت</t>
  </si>
  <si>
    <t>text_card</t>
  </si>
  <si>
    <t>Card</t>
  </si>
  <si>
    <t>بطاقة</t>
  </si>
  <si>
    <t>text_loadmore</t>
  </si>
  <si>
    <t>Load More</t>
  </si>
  <si>
    <t>عرض المزيد</t>
  </si>
  <si>
    <t>text_location</t>
  </si>
  <si>
    <t>Location details</t>
  </si>
  <si>
    <t>تفاصيل الموقع</t>
  </si>
  <si>
    <t>text_assigned</t>
  </si>
  <si>
    <t>Assigned</t>
  </si>
  <si>
    <t>تم التكليف</t>
  </si>
  <si>
    <t>text_started</t>
  </si>
  <si>
    <t>Started</t>
  </si>
  <si>
    <t>بلشت</t>
  </si>
  <si>
    <t>text_availablebalance</t>
  </si>
  <si>
    <t>Available Balance</t>
  </si>
  <si>
    <t>الرصيد المتاح</t>
  </si>
  <si>
    <t>text_addmoney</t>
  </si>
  <si>
    <t>Add Money</t>
  </si>
  <si>
    <t>اضافة فلوس</t>
  </si>
  <si>
    <t>text_recenttransactions</t>
  </si>
  <si>
    <t>Recent Transactions</t>
  </si>
  <si>
    <t>آخر التحويلات</t>
  </si>
  <si>
    <t>text_deposit</t>
  </si>
  <si>
    <t>Deposit</t>
  </si>
  <si>
    <t>إيداع</t>
  </si>
  <si>
    <t>text_ridepayment</t>
  </si>
  <si>
    <t>Ride Payment</t>
  </si>
  <si>
    <t>دفعة الرحلة</t>
  </si>
  <si>
    <t>Money Deposited</t>
  </si>
  <si>
    <t>إيداع فلوس</t>
  </si>
  <si>
    <t>text_enteramount</t>
  </si>
  <si>
    <t>Enter Amount Here</t>
  </si>
  <si>
    <t>اكتب المبلغ</t>
  </si>
  <si>
    <t>text_editprofile</t>
  </si>
  <si>
    <t>Edit Profile</t>
  </si>
  <si>
    <t>تعديل الملف الشخصي</t>
  </si>
  <si>
    <t>text_editimage</t>
  </si>
  <si>
    <t>Edit Image</t>
  </si>
  <si>
    <t>تعديل الصورة</t>
  </si>
  <si>
    <t>text_pay</t>
  </si>
  <si>
    <t>Pay</t>
  </si>
  <si>
    <t>إدفع</t>
  </si>
  <si>
    <t>text_somethingwentwrong</t>
  </si>
  <si>
    <t>Something Went Wrong, Try again</t>
  </si>
  <si>
    <t>في شي غلط , يا ريت تحاول مرة تانية</t>
  </si>
  <si>
    <t>text_paymentsuccess</t>
  </si>
  <si>
    <t>Payment successful</t>
  </si>
  <si>
    <t>تم الدفع بنجاح</t>
  </si>
  <si>
    <t>text_camera</t>
  </si>
  <si>
    <t>Camera</t>
  </si>
  <si>
    <t>الكاميرا</t>
  </si>
  <si>
    <t>text_gallery</t>
  </si>
  <si>
    <t>Gallery</t>
  </si>
  <si>
    <t>الأستوديو</t>
  </si>
  <si>
    <t>text_updateVehicle</t>
  </si>
  <si>
    <t>Update Vehicle Info</t>
  </si>
  <si>
    <t>تحديث معلومات السيارة</t>
  </si>
  <si>
    <t>text_make</t>
  </si>
  <si>
    <t>Vehicle Make</t>
  </si>
  <si>
    <t>ماركة السيارة</t>
  </si>
  <si>
    <t>text_model</t>
  </si>
  <si>
    <t>Vehicle Model</t>
  </si>
  <si>
    <t>فئة السيارة</t>
  </si>
  <si>
    <t>text_year</t>
  </si>
  <si>
    <t>Vehicle Year</t>
  </si>
  <si>
    <t>سنة صنع السيارة</t>
  </si>
  <si>
    <t>text_type</t>
  </si>
  <si>
    <t>Vehicle Type</t>
  </si>
  <si>
    <t>نوع السيارة</t>
  </si>
  <si>
    <t>text_number</t>
  </si>
  <si>
    <t>text_color</t>
  </si>
  <si>
    <t>Vehicle Color</t>
  </si>
  <si>
    <t>لون السيارة</t>
  </si>
  <si>
    <t>text_tapfordocs</t>
  </si>
  <si>
    <t>Tap here to upload</t>
  </si>
  <si>
    <t>اكبس لبدأ عملية الرفع</t>
  </si>
  <si>
    <t>text_earnings</t>
  </si>
  <si>
    <t>Earnings</t>
  </si>
  <si>
    <t>text_today</t>
  </si>
  <si>
    <t>Today</t>
  </si>
  <si>
    <t>text_weekly</t>
  </si>
  <si>
    <t>Weekly</t>
  </si>
  <si>
    <t>text_monthly</t>
  </si>
  <si>
    <t>Monthly</t>
  </si>
  <si>
    <t>شهري</t>
  </si>
  <si>
    <t>text_trips</t>
  </si>
  <si>
    <t>Trips</t>
  </si>
  <si>
    <t>الرحلات</t>
  </si>
  <si>
    <t>text_hours</t>
  </si>
  <si>
    <t>Hours</t>
  </si>
  <si>
    <t>الساعات</t>
  </si>
  <si>
    <t>text_tripkm</t>
  </si>
  <si>
    <t>Trip Kms</t>
  </si>
  <si>
    <t>كم لكل رحلة</t>
  </si>
  <si>
    <t>text_walletpayment</t>
  </si>
  <si>
    <t>Wallet Payment</t>
  </si>
  <si>
    <t>دفع عن طريق المحفظة</t>
  </si>
  <si>
    <t>text_cashpayment</t>
  </si>
  <si>
    <t>Cash Payment</t>
  </si>
  <si>
    <t>دفع كاش</t>
  </si>
  <si>
    <t>text_totalearnings</t>
  </si>
  <si>
    <t>Total Earnings</t>
  </si>
  <si>
    <t>text_report</t>
  </si>
  <si>
    <t>Report</t>
  </si>
  <si>
    <t>text_fromDate</t>
  </si>
  <si>
    <t>From Date</t>
  </si>
  <si>
    <t>من تاريخ</t>
  </si>
  <si>
    <t>text_toDate</t>
  </si>
  <si>
    <t>To Date</t>
  </si>
  <si>
    <t>حتى اليوم</t>
  </si>
  <si>
    <t>text_withdraw</t>
  </si>
  <si>
    <t>Withdraw</t>
  </si>
  <si>
    <t>سحب</t>
  </si>
  <si>
    <t>text_withdrawHistory</t>
  </si>
  <si>
    <t>Withdraw History</t>
  </si>
  <si>
    <t>تاريخ السحب</t>
  </si>
  <si>
    <t>text_withdrawReqAt</t>
  </si>
  <si>
    <t>Withdraw Request At</t>
  </si>
  <si>
    <t>طلب سحب في</t>
  </si>
  <si>
    <t>text_bankDetails</t>
  </si>
  <si>
    <t>Bank Details</t>
  </si>
  <si>
    <t>تفاصيل البنك</t>
  </si>
  <si>
    <t>text_accoutHolderName</t>
  </si>
  <si>
    <t>Account Holder Name</t>
  </si>
  <si>
    <t>text_accountNumber</t>
  </si>
  <si>
    <t>Account Number</t>
  </si>
  <si>
    <t>رقم الحساب</t>
  </si>
  <si>
    <t>text_bankCode</t>
  </si>
  <si>
    <t>Bank Code</t>
  </si>
  <si>
    <t xml:space="preserve">رمز البنك </t>
  </si>
  <si>
    <t>text_bankName</t>
  </si>
  <si>
    <t>Bank Name</t>
  </si>
  <si>
    <t>اسم البنك</t>
  </si>
  <si>
    <t>text_updateBank</t>
  </si>
  <si>
    <t>Update Bank Info</t>
  </si>
  <si>
    <t>text_confirmlogout</t>
  </si>
  <si>
    <t>Are you sure want to logout</t>
  </si>
  <si>
    <t>متأكد انك بدك تسجل خروج</t>
  </si>
  <si>
    <t>text_wallet</t>
  </si>
  <si>
    <t>text_startridewithotp</t>
  </si>
  <si>
    <t>Start Ride with OTP</t>
  </si>
  <si>
    <t>بدء المشوار مع OTP</t>
  </si>
  <si>
    <t>text_loadingLocalization</t>
  </si>
  <si>
    <t>Loading Localization</t>
  </si>
  <si>
    <t>تحميل الموقع</t>
  </si>
  <si>
    <t>text_background_permission</t>
  </si>
  <si>
    <t>Enable Background Location - to give you ride request even if your app is in background</t>
  </si>
  <si>
    <t>تمكين الموقع في الخلفية - هاد الشي بخليك تستقبل طلبات حتى لو كنت طالع من البرنامج</t>
  </si>
  <si>
    <t>Admin Commission For Trip</t>
  </si>
  <si>
    <t>نسبة الإدارة</t>
  </si>
  <si>
    <t>Trip Commission</t>
  </si>
  <si>
    <t>عمولة الرحلة</t>
  </si>
  <si>
    <t>Money Deposited By Admin</t>
  </si>
  <si>
    <t>فلوس تم ايداعها عن طريق الأدمن</t>
  </si>
  <si>
    <t>Referral Commission</t>
  </si>
  <si>
    <t>عمولة الإحالة</t>
  </si>
  <si>
    <t>Spent For Trip Request</t>
  </si>
  <si>
    <t>Withdrawn From Wallet</t>
  </si>
  <si>
    <t>انسحب من المحفظة</t>
  </si>
  <si>
    <t>text_user_cancelled_request</t>
  </si>
  <si>
    <t>User Cancelled the Request</t>
  </si>
  <si>
    <t>الراكب ألغى الطلب</t>
  </si>
  <si>
    <t>text_low_balance</t>
  </si>
  <si>
    <t>Your wallet balance is low, please add some money to continue service</t>
  </si>
  <si>
    <t>رصيد محفظتك منخفض, يرجى اعادة الشحن لتتكمن من مواصلة عملك</t>
  </si>
  <si>
    <t>text_otp_error</t>
  </si>
  <si>
    <t>Please enter correct Otp or resend</t>
  </si>
  <si>
    <t>يا ريت تكتب OTP الصحيح او تجرب ترسله كمان مرة</t>
  </si>
  <si>
    <t>text_code_copied</t>
  </si>
  <si>
    <t>Referral Code Copied</t>
  </si>
  <si>
    <t>تم نسخ رمز الدعوة</t>
  </si>
  <si>
    <t>text_loc_permission_user</t>
  </si>
  <si>
    <t>Allow Location</t>
  </si>
  <si>
    <t>يرجى تشغيل الموقع - لتتمكن من حجز مشوارك</t>
  </si>
  <si>
    <t>text_low_wallet_for_ride</t>
  </si>
  <si>
    <t>Your Wallet Balance is too low to make this ride</t>
  </si>
  <si>
    <t>رصيد محفظتك منخفض للغاية , لا يمكن حجز مشوارك</t>
  </si>
  <si>
    <t>text_internal_server_error</t>
  </si>
  <si>
    <t>Internal Server Error</t>
  </si>
  <si>
    <t>خطأ في السيرفر</t>
  </si>
  <si>
    <t>text_supported_vehicles</t>
  </si>
  <si>
    <t>Supported Vehicles</t>
  </si>
  <si>
    <t>السيارات المدعومة</t>
  </si>
  <si>
    <t>text_description</t>
  </si>
  <si>
    <t>Description</t>
  </si>
  <si>
    <t>الوصف</t>
  </si>
  <si>
    <t>text_estimated_amount</t>
  </si>
  <si>
    <t>Estimated Amount</t>
  </si>
  <si>
    <t>تقريبا</t>
  </si>
  <si>
    <t>text_open_loc_settings</t>
  </si>
  <si>
    <t>Location access is needed for running the app, please enable it in settings and tap done</t>
  </si>
  <si>
    <t>لازم تشغل الموقع لحتى يشتغل برنامج مشوار , يا ريت تفعل خدمة الموقع من الإعدادات</t>
  </si>
  <si>
    <t>text_open_settings</t>
  </si>
  <si>
    <t>Open Settings</t>
  </si>
  <si>
    <t>إفتح الإعدادات</t>
  </si>
  <si>
    <t>text_done</t>
  </si>
  <si>
    <t>Done</t>
  </si>
  <si>
    <t>تم</t>
  </si>
  <si>
    <t>text_open_contact_setting</t>
  </si>
  <si>
    <t>Contact access is needed to pick contact for SOS, pleable enable it in settings and tap done</t>
  </si>
  <si>
    <t>text_open_camera_setting</t>
  </si>
  <si>
    <t>Camera access is needed to capture image, please enable it in settings and tap done</t>
  </si>
  <si>
    <t>text_open_photos_setting</t>
  </si>
  <si>
    <t>Photos access is needed to pick image, please enable it in settings and tap done</t>
  </si>
  <si>
    <t>text_enter_otp_login</t>
  </si>
  <si>
    <t>Enter Otp</t>
  </si>
  <si>
    <t>text_add_by_card</t>
  </si>
  <si>
    <t>Add by Card</t>
  </si>
  <si>
    <t>text_add_by_kiosk</t>
  </si>
  <si>
    <t>Add by Kiosk</t>
  </si>
  <si>
    <t>text_pay_by_card</t>
  </si>
  <si>
    <t>Pay by Card</t>
  </si>
  <si>
    <t>text_pay_by_kiosk</t>
  </si>
  <si>
    <t>Pay by Kiosk</t>
  </si>
  <si>
    <t>text_error_trip_otp</t>
  </si>
  <si>
    <t>Please enter valid OTP</t>
  </si>
  <si>
    <t>text_bill_reference</t>
  </si>
  <si>
    <t>Bill Reference</t>
  </si>
  <si>
    <t>text_subscriptions</t>
  </si>
  <si>
    <t>Subscriptions</t>
  </si>
  <si>
    <t>text_select_sub_plan</t>
  </si>
  <si>
    <t>Select a plan to continue</t>
  </si>
  <si>
    <t>text_sub_text1</t>
  </si>
  <si>
    <t>Spot payment to your wallet</t>
  </si>
  <si>
    <t>text_sub_text2</t>
  </si>
  <si>
    <t>Benefits of getting whole amount</t>
  </si>
  <si>
    <t>text_sub_text3</t>
  </si>
  <si>
    <t>Get priority customer support</t>
  </si>
  <si>
    <t>text_sub_text4</t>
  </si>
  <si>
    <t>0% commission</t>
  </si>
  <si>
    <t>text_sub_ended</t>
  </si>
  <si>
    <t>Your Subscription is ended</t>
  </si>
  <si>
    <t>text_sub_ended_1</t>
  </si>
  <si>
    <t xml:space="preserve">Your Subscription has ended on </t>
  </si>
  <si>
    <t>text_purchase_now</t>
  </si>
  <si>
    <t>Purchase now</t>
  </si>
  <si>
    <t>text_browse_plans</t>
  </si>
  <si>
    <t>Browse Plans</t>
  </si>
  <si>
    <t>text_monthly_plan</t>
  </si>
  <si>
    <t>Monthly Plan</t>
  </si>
  <si>
    <t>text_yearly_plan</t>
  </si>
  <si>
    <t>Yearly Plan</t>
  </si>
  <si>
    <t>text_rideLaterTime</t>
  </si>
  <si>
    <t>Ride Scheduled at</t>
  </si>
  <si>
    <t>text_cancel_ride</t>
  </si>
  <si>
    <t>Cancel Ride</t>
  </si>
  <si>
    <t>text_sub_ended_2</t>
  </si>
  <si>
    <t>Subscribe a plan to continue getting rides</t>
  </si>
  <si>
    <t>text_make_complaints</t>
  </si>
  <si>
    <t>Make Complaint</t>
  </si>
  <si>
    <t>text_complaint_1</t>
  </si>
  <si>
    <t>Click Below to Choose Type</t>
  </si>
  <si>
    <t>text_complaint_2</t>
  </si>
  <si>
    <t>Write your complaint here</t>
  </si>
  <si>
    <t>text_complaint_success</t>
  </si>
  <si>
    <t>We Successfully Got Your Concern...</t>
  </si>
  <si>
    <t>text_complaint_success_2</t>
  </si>
  <si>
    <t>We Will Get You Sooner</t>
  </si>
  <si>
    <t>text_thankyou</t>
  </si>
  <si>
    <t>Thank You</t>
  </si>
  <si>
    <t>text_complaint_3</t>
  </si>
  <si>
    <t>minimum 10 characters</t>
  </si>
  <si>
    <t>text_free_trail_1</t>
  </si>
  <si>
    <t>Try Free Trial for 1 Month</t>
  </si>
  <si>
    <t>text_free_trail_2</t>
  </si>
  <si>
    <t>Are you sure to get Free Trial for 1 month</t>
  </si>
  <si>
    <t>text_waiting_time</t>
  </si>
  <si>
    <t>Waiting Time</t>
  </si>
  <si>
    <t>text_mins</t>
  </si>
  <si>
    <t>mins</t>
  </si>
  <si>
    <t>text_waiting_time_1</t>
  </si>
  <si>
    <t>Free Waiting Time</t>
  </si>
  <si>
    <t>text_waiting_time_2</t>
  </si>
  <si>
    <t>Free Waiting Time Before Trip Start</t>
  </si>
  <si>
    <t>text_waiting_time_3</t>
  </si>
  <si>
    <t>Free Waiting Time After Trip Start</t>
  </si>
  <si>
    <t>text_waiting_price</t>
  </si>
  <si>
    <t>Waiting Price</t>
  </si>
  <si>
    <t>text_discount</t>
  </si>
  <si>
    <t>Discount</t>
  </si>
  <si>
    <t>text_no_service</t>
  </si>
  <si>
    <t>Service not available in your location</t>
  </si>
  <si>
    <t>text_tax_inclusive</t>
  </si>
  <si>
    <t>Inclusive of TAX</t>
  </si>
  <si>
    <t>text_surge_fee</t>
  </si>
  <si>
    <t>Surge fee</t>
  </si>
  <si>
    <t>text_choose_payment</t>
  </si>
  <si>
    <t>Choose Payment Method</t>
  </si>
  <si>
    <t>text_rental_ride</t>
  </si>
  <si>
    <t>Rental Ride</t>
  </si>
  <si>
    <t>text_regular</t>
  </si>
  <si>
    <t>Regular</t>
  </si>
  <si>
    <t>text_ride_type</t>
  </si>
  <si>
    <t>Package Name</t>
  </si>
  <si>
    <t>text_referral_code</t>
  </si>
  <si>
    <t>please enter valid referral code</t>
  </si>
  <si>
    <t>text_arrive_eta</t>
  </si>
  <si>
    <t>Driver arrives in</t>
  </si>
  <si>
    <t>text_email_validation</t>
  </si>
  <si>
    <t>Please enter valid email address</t>
  </si>
  <si>
    <t>text_delete_account</t>
  </si>
  <si>
    <t>Delete Account</t>
  </si>
  <si>
    <t>text_delete_confirm</t>
  </si>
  <si>
    <t>After 30 days Your Account Will Be Deleted Permanently</t>
  </si>
  <si>
    <t>text_add_cancel_reason</t>
  </si>
  <si>
    <t>Add Cancel Reason</t>
  </si>
  <si>
    <t>text_chatwithuser</t>
  </si>
  <si>
    <t>Chat with</t>
  </si>
  <si>
    <t>text_available</t>
  </si>
  <si>
    <t>Available</t>
  </si>
  <si>
    <t>text_onboard</t>
  </si>
  <si>
    <t>OnBoard</t>
  </si>
  <si>
    <t>text_offline</t>
  </si>
  <si>
    <t>Offline</t>
  </si>
  <si>
    <t>text_no_data_found</t>
  </si>
  <si>
    <t>text_manage_vehicle</t>
  </si>
  <si>
    <t>Manage Vehicles</t>
  </si>
  <si>
    <t>text_manage_drivers</t>
  </si>
  <si>
    <t>Manage Drivers</t>
  </si>
  <si>
    <t>text_driver_added</t>
  </si>
  <si>
    <t>Driver Added Successfully</t>
  </si>
  <si>
    <t>text_no_driver</t>
  </si>
  <si>
    <t xml:space="preserve">No Driver </t>
  </si>
  <si>
    <t>text_assign_new_driver</t>
  </si>
  <si>
    <t>Assign new Driver +</t>
  </si>
  <si>
    <t>text_select_driver</t>
  </si>
  <si>
    <t>Please Select Driver</t>
  </si>
  <si>
    <t>text_fleet_not_assigned</t>
  </si>
  <si>
    <t>Fleet Not Assigned</t>
  </si>
  <si>
    <t>text_no_driver_found</t>
  </si>
  <si>
    <t>No Drivers Found</t>
  </si>
  <si>
    <t>text_select_date</t>
  </si>
  <si>
    <t>Select Date</t>
  </si>
  <si>
    <t>text_user</t>
  </si>
  <si>
    <t>User</t>
  </si>
  <si>
    <t>text_driver</t>
  </si>
  <si>
    <t>Driver</t>
  </si>
  <si>
    <t>text_driver_not_assigned</t>
  </si>
  <si>
    <t>Driver Not Assigned</t>
  </si>
  <si>
    <t>text_waiting_approval</t>
  </si>
  <si>
    <t>Waiting For Approval</t>
  </si>
  <si>
    <t>text_no_vehicle_found</t>
  </si>
  <si>
    <t>No Vehicle Found</t>
  </si>
  <si>
    <t>text_assign_driver</t>
  </si>
  <si>
    <t>Assign Driver</t>
  </si>
  <si>
    <t>text_upload_doc</t>
  </si>
  <si>
    <t>Upload Docs</t>
  </si>
  <si>
    <t>text_vehicle_added</t>
  </si>
  <si>
    <t>Vehicle Successfully Added</t>
  </si>
  <si>
    <t>text_add_photo</t>
  </si>
  <si>
    <t>Add Photo</t>
  </si>
  <si>
    <t>text_login_driver</t>
  </si>
  <si>
    <t>Login as a Driver</t>
  </si>
  <si>
    <t>text_login_owner</t>
  </si>
  <si>
    <t>Login as a Owner</t>
  </si>
  <si>
    <t>text_fleet_details</t>
  </si>
  <si>
    <t>Fleet Details</t>
  </si>
  <si>
    <t>text_delete_driver</t>
  </si>
  <si>
    <t>Delete Driver</t>
  </si>
  <si>
    <t>text_delete_confirmation</t>
  </si>
  <si>
    <t>Are you sure want to delete this driver ?</t>
  </si>
  <si>
    <t>text_yes</t>
  </si>
  <si>
    <t>Yes</t>
  </si>
  <si>
    <t>text_no</t>
  </si>
  <si>
    <t>No</t>
  </si>
  <si>
    <t>text_fleet_diver_low_bal</t>
  </si>
  <si>
    <t>Your owner wallet balance is low, please contact your owner</t>
  </si>
  <si>
    <t>text_add_vehicle</t>
  </si>
  <si>
    <t>Add Vehicle</t>
  </si>
  <si>
    <t>text_address</t>
  </si>
  <si>
    <t>Address</t>
  </si>
  <si>
    <t>text_add_driver</t>
  </si>
  <si>
    <t>Add Driver</t>
  </si>
  <si>
    <t>text_choose_area</t>
  </si>
  <si>
    <t>Choose Area</t>
  </si>
  <si>
    <t>text_company_name</t>
  </si>
  <si>
    <t>Company Name</t>
  </si>
  <si>
    <t>text_city</t>
  </si>
  <si>
    <t>City</t>
  </si>
  <si>
    <t>text_postal_code</t>
  </si>
  <si>
    <t>Postal Code</t>
  </si>
  <si>
    <t>text_tax_number</t>
  </si>
  <si>
    <t>Tax Number</t>
  </si>
  <si>
    <t>text_no_fleet_assigned</t>
  </si>
  <si>
    <t>No Fleet Assigned</t>
  </si>
  <si>
    <t>text_ridewithout_destination</t>
  </si>
  <si>
    <t>Ride without Destination</t>
  </si>
  <si>
    <t>text_notification</t>
  </si>
  <si>
    <t>Notification</t>
  </si>
  <si>
    <t>text_delete_notification</t>
  </si>
  <si>
    <t>Are you sure want to Delete the Notication</t>
  </si>
  <si>
    <t>text_share</t>
  </si>
  <si>
    <t>Share</t>
  </si>
  <si>
    <t>text_share_money</t>
  </si>
  <si>
    <t>Share Money</t>
  </si>
  <si>
    <t>text_close</t>
  </si>
  <si>
    <t>Close</t>
  </si>
  <si>
    <t>text_fill_fileds</t>
  </si>
  <si>
    <t>Fill The Fields</t>
  </si>
  <si>
    <t>text_admin_commision</t>
  </si>
  <si>
    <t>Admin Commission</t>
  </si>
  <si>
    <t>text_notification_deleted</t>
  </si>
  <si>
    <t>Notification  Deleted</t>
  </si>
  <si>
    <t>text_transferred_successfully</t>
  </si>
  <si>
    <t>Transferred Successfully</t>
  </si>
  <si>
    <t>text_account</t>
  </si>
  <si>
    <t>Account</t>
  </si>
  <si>
    <t>text_general</t>
  </si>
  <si>
    <t>General</t>
  </si>
  <si>
    <t>text_contactus</t>
  </si>
  <si>
    <t>Contact us</t>
  </si>
  <si>
    <t>text_noorder</t>
  </si>
  <si>
    <t>No Order Here</t>
  </si>
  <si>
    <t>text_latest_transitions</t>
  </si>
  <si>
    <t>Latest Transactions</t>
  </si>
  <si>
    <t>text_recharge_bal</t>
  </si>
  <si>
    <t>Recharge Balance</t>
  </si>
  <si>
    <t>text_rechage_text</t>
  </si>
  <si>
    <t>Here you can top-up your wallet</t>
  </si>
  <si>
    <t>text_credit_trans</t>
  </si>
  <si>
    <t>Transfer Money</t>
  </si>
  <si>
    <t>text_todayearn</t>
  </si>
  <si>
    <t>Today Earnings</t>
  </si>
  <si>
    <t>text_new_connection</t>
  </si>
  <si>
    <t>Add a Contact</t>
  </si>
  <si>
    <t>text_add_con_name</t>
  </si>
  <si>
    <t>Add Connection Name</t>
  </si>
  <si>
    <t>text_enter_name</t>
  </si>
  <si>
    <t>Enter The Name</t>
  </si>
  <si>
    <t>text_add_con_number</t>
  </si>
  <si>
    <t>Add Connection Number</t>
  </si>
  <si>
    <t>text_enter_phone_number</t>
  </si>
  <si>
    <t>Enter The Phone Number</t>
  </si>
  <si>
    <t>text_help</t>
  </si>
  <si>
    <t>Help</t>
  </si>
  <si>
    <t>text_you_contact</t>
  </si>
  <si>
    <t>You Can Contact Us</t>
  </si>
  <si>
    <t>text_what_mobilenum</t>
  </si>
  <si>
    <t>What's your mobile number ?</t>
  </si>
  <si>
    <t>text_you_get_otp</t>
  </si>
  <si>
    <t>You will get a sms for Verification</t>
  </si>
  <si>
    <t>text_send_otp</t>
  </si>
  <si>
    <t>Enter the OTP number send to you at</t>
  </si>
  <si>
    <t>text_your_name</t>
  </si>
  <si>
    <t>what's your name?</t>
  </si>
  <si>
    <t>text_prob_name</t>
  </si>
  <si>
    <t>Let us know how we know probably address you</t>
  </si>
  <si>
    <t>text_first_name</t>
  </si>
  <si>
    <t>Enter First Name</t>
  </si>
  <si>
    <t>text_last_name</t>
  </si>
  <si>
    <t>Enter Last Name</t>
  </si>
  <si>
    <t>text_enter_email</t>
  </si>
  <si>
    <t>Enter Your Email Address</t>
  </si>
  <si>
    <t>text_accept_head</t>
  </si>
  <si>
    <t>Accept Terms &amp; Review Privacy Policy Notice</t>
  </si>
  <si>
    <t>text_privacy_text</t>
  </si>
  <si>
    <t>By Selecting "I Agree" below, I have reviewed and agree to the Terms of Use and acknowledged the Privacy Notice.</t>
  </si>
  <si>
    <t>text_iagree</t>
  </si>
  <si>
    <t>I Agree</t>
  </si>
  <si>
    <t>text_reqinfo</t>
  </si>
  <si>
    <t>Required Information</t>
  </si>
  <si>
    <t>text_welcome</t>
  </si>
  <si>
    <t>Welcome</t>
  </si>
  <si>
    <t>text_become_captain</t>
  </si>
  <si>
    <t>Here is what you need to become driver</t>
  </si>
  <si>
    <t>text_profile</t>
  </si>
  <si>
    <t>Profile</t>
  </si>
  <si>
    <t>text_profile_para</t>
  </si>
  <si>
    <t>To accept the application, we need identification that prove the eligibility of the applicant to provide the service.</t>
  </si>
  <si>
    <t>text_car_info</t>
  </si>
  <si>
    <t>Car Information</t>
  </si>
  <si>
    <t>text_car_info_para</t>
  </si>
  <si>
    <t>text_docs</t>
  </si>
  <si>
    <t>Document</t>
  </si>
  <si>
    <t>text_upload_pho_lic</t>
  </si>
  <si>
    <t>Upload your photo and License</t>
  </si>
  <si>
    <t>text_upload_image</t>
  </si>
  <si>
    <t>Upload Image</t>
  </si>
  <si>
    <t>text_expiry_date</t>
  </si>
  <si>
    <t>Expiry Date</t>
  </si>
  <si>
    <t>text_choose_expiry</t>
  </si>
  <si>
    <t>Choose Expiry Date</t>
  </si>
  <si>
    <t>text_fil_req_info</t>
  </si>
  <si>
    <t>Please Fill Required Information</t>
  </si>
  <si>
    <t>text_choose_image</t>
  </si>
  <si>
    <t>please choose image</t>
  </si>
  <si>
    <t>text_car_type</t>
  </si>
  <si>
    <t>Car Type</t>
  </si>
  <si>
    <t>text_make_name</t>
  </si>
  <si>
    <t>Make Name</t>
  </si>
  <si>
    <t>text_model_name</t>
  </si>
  <si>
    <t>Model Name</t>
  </si>
  <si>
    <t>text_model_year</t>
  </si>
  <si>
    <t>Model Year</t>
  </si>
  <si>
    <t>text_enter_mod_year</t>
  </si>
  <si>
    <t>Enter Vehicle Model Year</t>
  </si>
  <si>
    <t>text_enter_valid_date</t>
  </si>
  <si>
    <t>Please Enter Valid Date</t>
  </si>
  <si>
    <t>text_enter_vehicle_num</t>
  </si>
  <si>
    <t>Enter Vehicle Number</t>
  </si>
  <si>
    <t>text_enter_color</t>
  </si>
  <si>
    <t>Enter Vehicle Color</t>
  </si>
  <si>
    <t>text_sign_out</t>
  </si>
  <si>
    <t>Sign Out</t>
  </si>
  <si>
    <t>text_save_address</t>
  </si>
  <si>
    <t>Saved Address</t>
  </si>
  <si>
    <t>text_my_orders</t>
  </si>
  <si>
    <t>My Orders</t>
  </si>
  <si>
    <t>text_total</t>
  </si>
  <si>
    <t>Total</t>
  </si>
  <si>
    <t>text_eva_profile</t>
  </si>
  <si>
    <t>We are evaluating your profile</t>
  </si>
  <si>
    <t>text_order_to</t>
  </si>
  <si>
    <t>In order to make sure our community holds up a standard,we dont allow any profiles to get in.</t>
  </si>
  <si>
    <t>text_kindly_reup</t>
  </si>
  <si>
    <t>Kindly re-upload the required document</t>
  </si>
  <si>
    <t>text_this_step</t>
  </si>
  <si>
    <t>This step take between 2-24 hour</t>
  </si>
  <si>
    <t>text_decline_reason</t>
  </si>
  <si>
    <t>The Declined reason is</t>
  </si>
  <si>
    <t>text_profile_info</t>
  </si>
  <si>
    <t>Profile Information</t>
  </si>
  <si>
    <t>text_mob_num</t>
  </si>
  <si>
    <t>Mobile Number</t>
  </si>
  <si>
    <t>text_work_area</t>
  </si>
  <si>
    <t>Select Work Area</t>
  </si>
  <si>
    <t>text_wok_area</t>
  </si>
  <si>
    <t>Work Area</t>
  </si>
  <si>
    <t>text_sel_model</t>
  </si>
  <si>
    <t>Select Vehicle Model</t>
  </si>
  <si>
    <t>text_sel_make</t>
  </si>
  <si>
    <t>Select Vehicle Make</t>
  </si>
  <si>
    <t>text_choose_date</t>
  </si>
  <si>
    <t>Choose Date</t>
  </si>
  <si>
    <t>text_delete</t>
  </si>
  <si>
    <t>Delete</t>
  </si>
  <si>
    <t>text_where_to_go</t>
  </si>
  <si>
    <t>Where do you want to go?</t>
  </si>
  <si>
    <t>text_view_on_map</t>
  </si>
  <si>
    <t>View on map</t>
  </si>
  <si>
    <t>text_coupons</t>
  </si>
  <si>
    <t>Coupon</t>
  </si>
  <si>
    <t>text_cancel_booking</t>
  </si>
  <si>
    <t>Cancel Booking</t>
  </si>
  <si>
    <t>text_driver_nearby</t>
  </si>
  <si>
    <t>Driver Nearby</t>
  </si>
  <si>
    <t>text_captain_nearby_desc</t>
  </si>
  <si>
    <t>The driver will arrive within 2 minutes be ready to meet him</t>
  </si>
  <si>
    <t>text_captain_arrived</t>
  </si>
  <si>
    <t>Driver Has Arrived</t>
  </si>
  <si>
    <t>text_captain_arrived_desc</t>
  </si>
  <si>
    <t>Driver has arrived. To avoid extra fees, be sure to meet your driver within 3 minutes</t>
  </si>
  <si>
    <t>text_why_cancel_order</t>
  </si>
  <si>
    <t>Why do you want to cancel order?</t>
  </si>
  <si>
    <t>text_why_report</t>
  </si>
  <si>
    <t>Why Do You Want To Report This Trip?</t>
  </si>
  <si>
    <t>text_we_appriciate</t>
  </si>
  <si>
    <t>We appriciate you helping us keep Our App safe</t>
  </si>
  <si>
    <t>text_thanks_let</t>
  </si>
  <si>
    <t>Thanks for letting us now</t>
  </si>
  <si>
    <t>text_thanks_feedback</t>
  </si>
  <si>
    <t>This feedback is important in helping us keep_x000b_Our App Community safe and secure for everyone</t>
  </si>
  <si>
    <t>text_enter_otp_at</t>
  </si>
  <si>
    <t xml:space="preserve">Enter the OTP number send to you at </t>
  </si>
  <si>
    <t>text_resend_otp</t>
  </si>
  <si>
    <t>Resend OTP</t>
  </si>
  <si>
    <t>text_have_issue</t>
  </si>
  <si>
    <t>Have Issue</t>
  </si>
  <si>
    <t>text_loc_perm_1</t>
  </si>
  <si>
    <t>Most Trusted app</t>
  </si>
  <si>
    <t>text_loc_perm_2</t>
  </si>
  <si>
    <t>To enjoy your ride experience Please, us the following permission</t>
  </si>
  <si>
    <t>text_saved_place</t>
  </si>
  <si>
    <t>Saved Places</t>
  </si>
  <si>
    <t>text_search_captain</t>
  </si>
  <si>
    <t>Searching For Driver</t>
  </si>
  <si>
    <t>text_in_the_way</t>
  </si>
  <si>
    <t>On The Way</t>
  </si>
  <si>
    <t>text_on_ride</t>
  </si>
  <si>
    <t>On Ride</t>
  </si>
  <si>
    <t>text_waiting_rider</t>
  </si>
  <si>
    <t>Waiting for Customer</t>
  </si>
  <si>
    <t>text_contact_support</t>
  </si>
  <si>
    <t>Contact Support</t>
  </si>
  <si>
    <t>text_agree_text1</t>
  </si>
  <si>
    <t>By Selecting " I Agree " below, I have Reviewed and agree to the</t>
  </si>
  <si>
    <t>text_terms_of_use</t>
  </si>
  <si>
    <t xml:space="preserve"> Terms Of Use </t>
  </si>
  <si>
    <t>text_agree_text2</t>
  </si>
  <si>
    <t xml:space="preserve"> and acknowledged the </t>
  </si>
  <si>
    <t>text_welcome_text1</t>
  </si>
  <si>
    <t>What would you to do today?</t>
  </si>
  <si>
    <t>text_take_ride</t>
  </si>
  <si>
    <t>Take a Ride Now</t>
  </si>
  <si>
    <t>text_get_ready</t>
  </si>
  <si>
    <t>Get Ready For Ride Later</t>
  </si>
  <si>
    <t>text_now</t>
  </si>
  <si>
    <t>Now</t>
  </si>
  <si>
    <t>text_later</t>
  </si>
  <si>
    <t>Later</t>
  </si>
  <si>
    <t>text_door_to_door</t>
  </si>
  <si>
    <t>Door-To-Door</t>
  </si>
  <si>
    <t>text_convenience</t>
  </si>
  <si>
    <t>Convenience,Safety,</t>
  </si>
  <si>
    <t>text_reliable</t>
  </si>
  <si>
    <t>and Reliable Quality,</t>
  </si>
  <si>
    <t>text_destination</t>
  </si>
  <si>
    <t xml:space="preserve">Or add your destination later </t>
  </si>
  <si>
    <t>text_nocaptain</t>
  </si>
  <si>
    <t>text_captain_wait</t>
  </si>
  <si>
    <t>Driver Is Waiting For You</t>
  </si>
  <si>
    <t>text_back_home</t>
  </si>
  <si>
    <t>Back To Home Page</t>
  </si>
  <si>
    <t>text_add_address</t>
  </si>
  <si>
    <t>Add an Address</t>
  </si>
  <si>
    <t>text_amount_of</t>
  </si>
  <si>
    <t>Amount of</t>
  </si>
  <si>
    <t>text_tranferred_to</t>
  </si>
  <si>
    <t>has been transferred to</t>
  </si>
  <si>
    <t>text_company_info</t>
  </si>
  <si>
    <t>Company Information</t>
  </si>
  <si>
    <t>text_instant_ride</t>
  </si>
  <si>
    <t>Instant Ride</t>
  </si>
  <si>
    <t>text_my_route</t>
  </si>
  <si>
    <t>My Route Booking</t>
  </si>
  <si>
    <t>text_home_address</t>
  </si>
  <si>
    <t>Home Address</t>
  </si>
  <si>
    <t>text_add_home_address</t>
  </si>
  <si>
    <t>Add Home Address</t>
  </si>
  <si>
    <t>text_disable_myroute</t>
  </si>
  <si>
    <t>Disable My Route Booking</t>
  </si>
  <si>
    <t>text_enable_myroute</t>
  </si>
  <si>
    <t>Enable My Route Booking</t>
  </si>
  <si>
    <t>text_choose_homeaddress</t>
  </si>
  <si>
    <t>Choose Home Address</t>
  </si>
  <si>
    <t>text_address_added_success</t>
  </si>
  <si>
    <t>Address Added Successfully</t>
  </si>
  <si>
    <t>text_myroute_warning</t>
  </si>
  <si>
    <t>Your current location should not be less than 5km from your home address</t>
  </si>
  <si>
    <t>text_onride_min</t>
  </si>
  <si>
    <t>Way to Drop in</t>
  </si>
  <si>
    <t>text_valid_referral</t>
  </si>
  <si>
    <t>Please enter valid Referral Code</t>
  </si>
  <si>
    <t>text_shipment_load</t>
  </si>
  <si>
    <t>Shipment Load</t>
  </si>
  <si>
    <t>text_shipment_unload</t>
  </si>
  <si>
    <t>Shipment Unload</t>
  </si>
  <si>
    <t>text_instructions</t>
  </si>
  <si>
    <t>Instructions</t>
  </si>
  <si>
    <t>text_add_instructions</t>
  </si>
  <si>
    <t>Add Instructions</t>
  </si>
  <si>
    <t>text_change_position_demo</t>
  </si>
  <si>
    <t>Long press and move for switch address position</t>
  </si>
  <si>
    <t>text_choose_address_nav</t>
  </si>
  <si>
    <t>Choose Address for Navigation</t>
  </si>
  <si>
    <t>text_signature</t>
  </si>
  <si>
    <t>Signature</t>
  </si>
  <si>
    <t>text_retry</t>
  </si>
  <si>
    <t>Retry</t>
  </si>
  <si>
    <t>text_confirm_pickloc</t>
  </si>
  <si>
    <t>Confirm Pick Location</t>
  </si>
  <si>
    <t>text_confirm_droploc</t>
  </si>
  <si>
    <t>Confirm Drop Location</t>
  </si>
  <si>
    <t>text_confirm_newloc</t>
  </si>
  <si>
    <t>Confirm New Location</t>
  </si>
  <si>
    <t>text_give_buyerdata</t>
  </si>
  <si>
    <t>Receiver Info</t>
  </si>
  <si>
    <t>text_givenumber</t>
  </si>
  <si>
    <t>text_confirm_details</t>
  </si>
  <si>
    <t>Confirm Details</t>
  </si>
  <si>
    <t>text_add_stop</t>
  </si>
  <si>
    <t>Add Stop</t>
  </si>
  <si>
    <t>text_give_userdata</t>
  </si>
  <si>
    <t>Sender Info</t>
  </si>
  <si>
    <t>text_pick_contact</t>
  </si>
  <si>
    <t>Pickup Contact</t>
  </si>
  <si>
    <t>text_choose_goods</t>
  </si>
  <si>
    <t>Choose Goods Type</t>
  </si>
  <si>
    <t>text_loose</t>
  </si>
  <si>
    <t>Loose</t>
  </si>
  <si>
    <t>text_quantitywithunit</t>
  </si>
  <si>
    <t>Qty with unit</t>
  </si>
  <si>
    <t>text_goods_type</t>
  </si>
  <si>
    <t>Goods Type</t>
  </si>
  <si>
    <t>text_book_now</t>
  </si>
  <si>
    <t>Ride Now</t>
  </si>
  <si>
    <t>text_book_later</t>
  </si>
  <si>
    <t>Book for Later</t>
  </si>
  <si>
    <t>text_add_shipmentimage</t>
  </si>
  <si>
    <t>Tap to add Shipment Image</t>
  </si>
  <si>
    <t>text_edit_shipmentimage</t>
  </si>
  <si>
    <t>Tap to edit Shipment Image</t>
  </si>
  <si>
    <t>text_add_unloadImage</t>
  </si>
  <si>
    <t>Tap to add Unload Image</t>
  </si>
  <si>
    <t>text_edit_unloadimage</t>
  </si>
  <si>
    <t>Tap to edit Unload Image</t>
  </si>
  <si>
    <t>text_unload_title</t>
  </si>
  <si>
    <t>Upload Unload Proof</t>
  </si>
  <si>
    <t>text_shipment_title</t>
  </si>
  <si>
    <t>Upload Shipment Proof</t>
  </si>
  <si>
    <t>text_owner</t>
  </si>
  <si>
    <t>Owner</t>
  </si>
  <si>
    <t>text_taxi</t>
  </si>
  <si>
    <t>Transport</t>
  </si>
  <si>
    <t>text_delivery</t>
  </si>
  <si>
    <t>Delivery</t>
  </si>
  <si>
    <t>text_waitingforpayment</t>
  </si>
  <si>
    <t>Waiting For Payment</t>
  </si>
  <si>
    <t>text_continue_with</t>
  </si>
  <si>
    <t>Continue with</t>
  </si>
  <si>
    <t>text_goto_url</t>
  </si>
  <si>
    <t>Goto URL</t>
  </si>
  <si>
    <t>text_register_for</t>
  </si>
  <si>
    <t>Register for</t>
  </si>
  <si>
    <t>text_recommended_fare</t>
  </si>
  <si>
    <t>Recommended Fare</t>
  </si>
  <si>
    <t>text_offer_your_fare</t>
  </si>
  <si>
    <t>Offer Your Fare</t>
  </si>
  <si>
    <t>text_offered_fare</t>
  </si>
  <si>
    <t>Offered ride fare</t>
  </si>
  <si>
    <t>text_current_fare</t>
  </si>
  <si>
    <t>Current Fare</t>
  </si>
  <si>
    <t>text_update</t>
  </si>
  <si>
    <t>Update</t>
  </si>
  <si>
    <t>text_you_are_offduty</t>
  </si>
  <si>
    <t>You are Off Duty now</t>
  </si>
  <si>
    <t>text_cancel_confirmation</t>
  </si>
  <si>
    <t>Are you sure want to cancel the ride?</t>
  </si>
  <si>
    <t>text_no_ride_in_area</t>
  </si>
  <si>
    <t>Waiting For Ride Request</t>
  </si>
  <si>
    <t>text_skip_ride</t>
  </si>
  <si>
    <t>Skip the Ride</t>
  </si>
  <si>
    <t>text_bid</t>
  </si>
  <si>
    <t>Bid</t>
  </si>
  <si>
    <t>text_waiting_for_user</t>
  </si>
  <si>
    <t>Waiting for user to accept the request</t>
  </si>
  <si>
    <t>text_pick</t>
  </si>
  <si>
    <t>Pick Up</t>
  </si>
  <si>
    <t>text_distance_between</t>
  </si>
  <si>
    <t>Get ride from distance between</t>
  </si>
  <si>
    <t>text_create_request</t>
  </si>
  <si>
    <t>Create Request</t>
  </si>
  <si>
    <t>text_low_fare_error</t>
  </si>
  <si>
    <t>your fare must not be lesser than recommended fare</t>
  </si>
  <si>
    <t>text_contact_us</t>
  </si>
  <si>
    <t>Contact Us</t>
  </si>
  <si>
    <t>text_sign_up_email</t>
  </si>
  <si>
    <t>Sign In with Email</t>
  </si>
  <si>
    <t>text_email_verify</t>
  </si>
  <si>
    <t>Email Verification</t>
  </si>
  <si>
    <t>text_select_theme</t>
  </si>
  <si>
    <t>Select Theme</t>
  </si>
  <si>
    <t>text_update_available</t>
  </si>
  <si>
    <t>New version of this app is available in store, please update the app for continue using</t>
  </si>
  <si>
    <t>text_more_vehicles</t>
  </si>
  <si>
    <t>You can choose more than 1 vehicle types</t>
  </si>
  <si>
    <t>text_bidding</t>
  </si>
  <si>
    <t>Bidding</t>
  </si>
  <si>
    <t>text_contact_permission</t>
  </si>
  <si>
    <t>The selected contact will be added in our server for SOS purpose, In app there is an option to remove this contacts.</t>
  </si>
  <si>
    <t>text_payment_received</t>
  </si>
  <si>
    <t>Payment Received</t>
  </si>
  <si>
    <t>text_what_email</t>
  </si>
  <si>
    <t>What's Your Email ?</t>
  </si>
  <si>
    <t>text_taxi_</t>
  </si>
  <si>
    <t>Taxi</t>
  </si>
  <si>
    <t>text_both</t>
  </si>
  <si>
    <t>Both</t>
  </si>
  <si>
    <t>text_service_loc</t>
  </si>
  <si>
    <t>What's your service location</t>
  </si>
  <si>
    <t>text_4letterpickup</t>
  </si>
  <si>
    <t>search pickup location</t>
  </si>
  <si>
    <t>text_complaint_text_error</t>
  </si>
  <si>
    <t>Complaint must be minimum 10 characters</t>
  </si>
  <si>
    <t>text_account_declined</t>
  </si>
  <si>
    <t>Your Account is Declined</t>
  </si>
  <si>
    <t>text_declined_reason</t>
  </si>
  <si>
    <t>Declined Reason</t>
  </si>
  <si>
    <t>text_skip_referral</t>
  </si>
  <si>
    <t>Skip Referral</t>
  </si>
  <si>
    <t>text_referral_optional</t>
  </si>
  <si>
    <t>Referral (Optional)</t>
  </si>
  <si>
    <t>text_wallet_balance_low</t>
  </si>
  <si>
    <t>Your wallet balance is low try another payment method</t>
  </si>
  <si>
    <t>text_mobile_already_taken</t>
  </si>
  <si>
    <t>Provided Mobile Number Already Taken</t>
  </si>
  <si>
    <t>text_mobile</t>
  </si>
  <si>
    <t>Mobile</t>
  </si>
  <si>
    <t>text_chat_us</t>
  </si>
  <si>
    <t>Chat With Us</t>
  </si>
  <si>
    <t>text_admin_chat</t>
  </si>
  <si>
    <t>Admin Chat</t>
  </si>
  <si>
    <t>text_email_already_taken</t>
  </si>
  <si>
    <t>Provided Email Already Taken</t>
  </si>
  <si>
    <t>text_settings</t>
  </si>
  <si>
    <t>Settings</t>
  </si>
  <si>
    <t>text_support</t>
  </si>
  <si>
    <t>Support</t>
  </si>
  <si>
    <t>text_referral</t>
  </si>
  <si>
    <t>text_custom_make</t>
  </si>
  <si>
    <t>Add Custom Make</t>
  </si>
  <si>
    <t>Edit Docs</t>
  </si>
  <si>
    <t>text_bid_ride</t>
  </si>
  <si>
    <t>Bid Ride</t>
  </si>
  <si>
    <t>text_outstation</t>
  </si>
  <si>
    <t>Out Station</t>
  </si>
  <si>
    <t>text_ready_to_pickup</t>
  </si>
  <si>
    <t>Ready To Pickup</t>
  </si>
  <si>
    <t>text_my_bid_amount</t>
  </si>
  <si>
    <t>My Offered Price</t>
  </si>
  <si>
    <t>text_chooe_transport_type</t>
  </si>
  <si>
    <t>Choose Transport Type Here</t>
  </si>
  <si>
    <t>text_one_way_trip</t>
  </si>
  <si>
    <t>One  way</t>
  </si>
  <si>
    <t>text_get_drop_off</t>
  </si>
  <si>
    <t>Get Dropped off</t>
  </si>
  <si>
    <t>text_round_trip</t>
  </si>
  <si>
    <t>Round  Trip</t>
  </si>
  <si>
    <t>text_car_return</t>
  </si>
  <si>
    <t>Keep The Car Till Return</t>
  </si>
  <si>
    <t>text_select</t>
  </si>
  <si>
    <t>Select</t>
  </si>
  <si>
    <t>text_schedule_trip</t>
  </si>
  <si>
    <t>Schedule One-Way Trip</t>
  </si>
  <si>
    <t>text_schedule_round_trip</t>
  </si>
  <si>
    <t>Schedule Round - Trip</t>
  </si>
  <si>
    <t>text_leave_on</t>
  </si>
  <si>
    <t>Leave On</t>
  </si>
  <si>
    <t>text_return_by</t>
  </si>
  <si>
    <t>Return By</t>
  </si>
  <si>
    <t>text_booking_for</t>
  </si>
  <si>
    <t>Booking For</t>
  </si>
  <si>
    <t>text_bidded_drivers</t>
  </si>
  <si>
    <t>Offerred Bids</t>
  </si>
  <si>
    <t>text_starting</t>
  </si>
  <si>
    <t>Starting</t>
  </si>
  <si>
    <t>text_outstation_ride</t>
  </si>
  <si>
    <t>Out Station Ride</t>
  </si>
  <si>
    <t>text_vehicle_info</t>
  </si>
  <si>
    <t>Vehicle Information</t>
  </si>
  <si>
    <t>text_ongoing_rides</t>
  </si>
  <si>
    <t>On Going Rides</t>
  </si>
  <si>
    <t>text_view_rides</t>
  </si>
  <si>
    <t>View Rides</t>
  </si>
  <si>
    <t>text_schedule</t>
  </si>
  <si>
    <t>Schedule Now</t>
  </si>
  <si>
    <t>text_overlay_permission</t>
  </si>
  <si>
    <t>Could you Please Provide Overlay Permisson for Apperar on the Other Apps</t>
  </si>
  <si>
    <t>text_personal_info</t>
  </si>
  <si>
    <t>Personal Info</t>
  </si>
  <si>
    <t>text_req_permission</t>
  </si>
  <si>
    <t>Request Permission</t>
  </si>
  <si>
    <t>text_upcoming_rides</t>
  </si>
  <si>
    <t>Upcoming Rides</t>
  </si>
  <si>
    <t>text_completed_rides</t>
  </si>
  <si>
    <t>Completed Rides</t>
  </si>
  <si>
    <t>text_cancelled_rides</t>
  </si>
  <si>
    <t>Cancelled Rides</t>
  </si>
  <si>
    <t>text_nofav_loc</t>
  </si>
  <si>
    <t>No favorite location is been found</t>
  </si>
  <si>
    <t>text_no_transaction</t>
  </si>
  <si>
    <t>No recent transactions...!</t>
  </si>
  <si>
    <t>text_map_theme</t>
  </si>
  <si>
    <t>Map Theme</t>
  </si>
  <si>
    <t>text_add_money_wallet</t>
  </si>
  <si>
    <t>Add Money To Wallet</t>
  </si>
  <si>
    <t>text_wat_to_drop</t>
  </si>
  <si>
    <t>Way to Drop</t>
  </si>
  <si>
    <t>text_waiting_time_text</t>
  </si>
  <si>
    <t>After 5 minutes, a **/min surcharge applies for additional waiting time.</t>
  </si>
  <si>
    <t>text_add_contact</t>
  </si>
  <si>
    <t>text_no_contact</t>
  </si>
  <si>
    <t>No contacts have been added..!</t>
  </si>
  <si>
    <t>text_add_contact_safety</t>
  </si>
  <si>
    <t>Please add contacts to ensure your safety.</t>
  </si>
  <si>
    <t>text_map_settings</t>
  </si>
  <si>
    <t>Map Settings</t>
  </si>
  <si>
    <t>text_reset_now</t>
  </si>
  <si>
    <t>Reset to Now</t>
  </si>
  <si>
    <t>text_no_bids</t>
  </si>
  <si>
    <t>No Bids Yet</t>
  </si>
  <si>
    <t>text_choose_complaint</t>
  </si>
  <si>
    <t>Choose Your Complaints</t>
  </si>
  <si>
    <t>text_assurance</t>
  </si>
  <si>
    <t>ASSURANCE</t>
  </si>
  <si>
    <t>text_assurance_text</t>
  </si>
  <si>
    <t>Our customers safety first Always &amp; forever</t>
  </si>
  <si>
    <t>text_clarity</t>
  </si>
  <si>
    <t>CLARITY</t>
  </si>
  <si>
    <t>text_clarity_text</t>
  </si>
  <si>
    <t>Fair Pricing, Crystal Clear  Your Trust, Our Promise</t>
  </si>
  <si>
    <t>text_intutive</t>
  </si>
  <si>
    <t>INTUTIVE</t>
  </si>
  <si>
    <t>text_intutive_text</t>
  </si>
  <si>
    <t>Seamless Journeys, One Tap Away</t>
  </si>
  <si>
    <t>text_support_</t>
  </si>
  <si>
    <t>SUPPORT</t>
  </si>
  <si>
    <t>text_support_text</t>
  </si>
  <si>
    <t>Your Journey, Our Commitment: Support Around the Clock</t>
  </si>
  <si>
    <t>text_choose_to_explore</t>
  </si>
  <si>
    <t>Choose your role to explore</t>
  </si>
  <si>
    <t>text_sign_in</t>
  </si>
  <si>
    <t>Sign In</t>
  </si>
  <si>
    <t>text_email_mobile</t>
  </si>
  <si>
    <t>Email/ Mobile</t>
  </si>
  <si>
    <t>text_enter_password</t>
  </si>
  <si>
    <t>Enter Password</t>
  </si>
  <si>
    <t>text_forgot_password</t>
  </si>
  <si>
    <t>Forgot Password?</t>
  </si>
  <si>
    <t>text_sign_in_otp</t>
  </si>
  <si>
    <t>Signin with OTP?</t>
  </si>
  <si>
    <t>text_sign_in_password</t>
  </si>
  <si>
    <t>Signin with Password?</t>
  </si>
  <si>
    <t>text_get_otp</t>
  </si>
  <si>
    <t>Get OTP</t>
  </si>
  <si>
    <t>text_verify_otp</t>
  </si>
  <si>
    <t>Verify OTP</t>
  </si>
  <si>
    <t>text_verify_mobile</t>
  </si>
  <si>
    <t>Verify Mobile</t>
  </si>
  <si>
    <t>text_resend_otp_in</t>
  </si>
  <si>
    <t>Resend OTP in 1111</t>
  </si>
  <si>
    <t>text_welcome_to</t>
  </si>
  <si>
    <t>Welcome to 5555!</t>
  </si>
  <si>
    <t>text_captain_arrive</t>
  </si>
  <si>
    <t>The captain will arrive within 2 minutes be ready to meet him</t>
  </si>
  <si>
    <t>text_reaching_destination</t>
  </si>
  <si>
    <t>Reaching Destination in 1111 mins</t>
  </si>
  <si>
    <t>text_use_my_name_number</t>
  </si>
  <si>
    <t>Use My Name and Mobile Number</t>
  </si>
  <si>
    <t>text_give_user_data</t>
  </si>
  <si>
    <t>Give User Data</t>
  </si>
  <si>
    <t>text_select_package</t>
  </si>
  <si>
    <t>Select Package</t>
  </si>
  <si>
    <t>text_enter_new_password</t>
  </si>
  <si>
    <t>Enter New Password</t>
  </si>
  <si>
    <t>text_password_update_successfully</t>
  </si>
  <si>
    <t>Password Updated succesfully</t>
  </si>
  <si>
    <t>text_password_length</t>
  </si>
  <si>
    <t>Password must be 8 character length</t>
  </si>
  <si>
    <t>text_please_enter_correct_otp</t>
  </si>
  <si>
    <t>Please enter correct otp</t>
  </si>
  <si>
    <t>text_please_enter_otp</t>
  </si>
  <si>
    <t>Please enter otp</t>
  </si>
  <si>
    <t>text_please_enter_valid_mobile_number</t>
  </si>
  <si>
    <t>Please enter valid mobile number</t>
  </si>
  <si>
    <t>text_please_enter_valid_email_address</t>
  </si>
  <si>
    <t>text_mobile_doesnt_exists</t>
  </si>
  <si>
    <t>Mobile Number doesn't exists</t>
  </si>
  <si>
    <t>text_email_doesnt_exists</t>
  </si>
  <si>
    <t>Email doesn't exists</t>
  </si>
  <si>
    <t>text_fill_all_fields</t>
  </si>
  <si>
    <t>please enter all fields to proceed</t>
  </si>
  <si>
    <t>text_update_password</t>
  </si>
  <si>
    <t>Update Password</t>
  </si>
  <si>
    <t>text_number_exists_please_signup</t>
  </si>
  <si>
    <t>User Doesn't exists with this number, please Signup to continue</t>
  </si>
  <si>
    <t>text_registered_for</t>
  </si>
  <si>
    <t>Registered for - 1111</t>
  </si>
  <si>
    <t>text_male</t>
  </si>
  <si>
    <t>Male</t>
  </si>
  <si>
    <t>text_female</t>
  </si>
  <si>
    <t>Female</t>
  </si>
  <si>
    <t>text_other_gender</t>
  </si>
  <si>
    <t>Unknown</t>
  </si>
  <si>
    <t>text_gender</t>
  </si>
  <si>
    <t>Gender</t>
  </si>
  <si>
    <t>text_not_specified</t>
  </si>
  <si>
    <t>Not Specified</t>
  </si>
  <si>
    <t>text_upi</t>
  </si>
  <si>
    <t>UPI</t>
  </si>
  <si>
    <t>text_pets</t>
  </si>
  <si>
    <t>Pets</t>
  </si>
  <si>
    <t>text_luggages</t>
  </si>
  <si>
    <t>Luggages</t>
  </si>
  <si>
    <t>text_ride_preference</t>
  </si>
  <si>
    <t>Ride Preferences</t>
  </si>
  <si>
    <t>text_choose_preference</t>
  </si>
  <si>
    <t>Choose Preferences</t>
  </si>
  <si>
    <t>text_recent_searches</t>
  </si>
  <si>
    <t>Recent Searches</t>
  </si>
  <si>
    <t>text_map</t>
  </si>
  <si>
    <t>Map</t>
  </si>
  <si>
    <t>text_drop_loc</t>
  </si>
  <si>
    <t>Drop</t>
  </si>
  <si>
    <t>text_stop</t>
  </si>
  <si>
    <t>Stop</t>
  </si>
  <si>
    <t>text_pickup_loc</t>
  </si>
  <si>
    <t>Pickup</t>
  </si>
  <si>
    <t>text_search_no_results</t>
  </si>
  <si>
    <t>No results found. Try select from map</t>
  </si>
  <si>
    <t>text_searching</t>
  </si>
  <si>
    <t>Searching...</t>
  </si>
  <si>
    <t>text_search_results</t>
  </si>
  <si>
    <t>Search Results</t>
  </si>
  <si>
    <t>text_min4_letters</t>
  </si>
  <si>
    <t>Please enter atleast 4 letters to search</t>
  </si>
  <si>
    <t>text_new_type_address</t>
  </si>
  <si>
    <t>Example:"Friend's house"</t>
  </si>
  <si>
    <t>text_tap_add_address</t>
  </si>
  <si>
    <t>Tap to add address</t>
  </si>
  <si>
    <t>text_add_new</t>
  </si>
  <si>
    <t>Add New</t>
  </si>
  <si>
    <t>text_owner_delete_confirmation</t>
  </si>
  <si>
    <t>Are you sure want to delete this owner ?</t>
  </si>
  <si>
    <t>text_complete</t>
  </si>
  <si>
    <t>Complete</t>
  </si>
  <si>
    <t>text_polyline_demo</t>
  </si>
  <si>
    <t>Route Polyline Not Available In Demo</t>
  </si>
  <si>
    <t>text_address_demo</t>
  </si>
  <si>
    <t>Drag To Get Address Feature Not Available In demo</t>
  </si>
  <si>
    <t>text_drop_stops</t>
  </si>
  <si>
    <t>StopOvers</t>
  </si>
  <si>
    <t>text_got_new_driver</t>
  </si>
  <si>
    <t>Got new driver</t>
  </si>
  <si>
    <t>text_bid_ride_amount_of</t>
  </si>
  <si>
    <t>Bid For Ride Amount Of</t>
  </si>
  <si>
    <t>text_end_all</t>
  </si>
  <si>
    <t>End All</t>
  </si>
  <si>
    <t>text_end_stop</t>
  </si>
  <si>
    <t>End This Stop</t>
  </si>
  <si>
    <t>text_end_trip_desc</t>
  </si>
  <si>
    <t>You Have Added 3 More Stops.Would You Like To End The Trip For All Of Them?</t>
  </si>
  <si>
    <t>text_new_trip_req</t>
  </si>
  <si>
    <t>New Trip Requested</t>
  </si>
  <si>
    <t>text_new_trip_req_bid</t>
  </si>
  <si>
    <t>New Trip Requested, You Can Bid Or Reject The Request</t>
  </si>
  <si>
    <t>text_additional_charges</t>
  </si>
  <si>
    <t>Additional Charges</t>
  </si>
  <si>
    <t>text_additional_fees</t>
  </si>
  <si>
    <t>Additional Fee</t>
  </si>
  <si>
    <t>text_charge_details</t>
  </si>
  <si>
    <t>Charge details</t>
  </si>
  <si>
    <t>text_amount</t>
  </si>
  <si>
    <t>Amount</t>
  </si>
  <si>
    <t>text_please_fill_all_fields</t>
  </si>
  <si>
    <t>Please fill all the fields</t>
  </si>
  <si>
    <t>text_reason</t>
  </si>
  <si>
    <t>Reason</t>
  </si>
  <si>
    <t>text_suggested_truk_size</t>
  </si>
  <si>
    <t>Suggested Truck Size</t>
  </si>
  <si>
    <t>text_select_truk_size</t>
  </si>
  <si>
    <t>Selected Truck Size</t>
  </si>
  <si>
    <t>text_tips</t>
  </si>
  <si>
    <t>Tips</t>
  </si>
  <si>
    <t>text_add_tips</t>
  </si>
  <si>
    <t>Add Tips</t>
  </si>
  <si>
    <t>text_inclusive_of_tips</t>
  </si>
  <si>
    <t>Inclusive of Tips</t>
  </si>
  <si>
    <t>show</t>
  </si>
  <si>
    <t>ta</t>
  </si>
  <si>
    <t>jo</t>
  </si>
  <si>
    <t>UpdateConfig</t>
  </si>
  <si>
    <t>update</t>
  </si>
</sst>
</file>

<file path=xl/styles.xml><?xml version="1.0" encoding="utf-8"?>
<styleSheet xmlns="http://schemas.openxmlformats.org/spreadsheetml/2006/main" xmlns:x14ac="http://schemas.microsoft.com/office/spreadsheetml/2009/9/ac" xmlns:mc="http://schemas.openxmlformats.org/markup-compatibility/2006">
  <fonts count="30">
    <font>
      <sz val="10.0"/>
      <color rgb="FF000000"/>
      <name val="Arial"/>
    </font>
    <font>
      <b/>
      <sz val="12.0"/>
      <color rgb="FFFF0000"/>
      <name val="Georgia"/>
    </font>
    <font>
      <sz val="10.0"/>
      <name val="Arial"/>
    </font>
    <font>
      <sz val="10.0"/>
      <color rgb="FF2B2B2B"/>
      <name val="Arial"/>
    </font>
    <font/>
    <font>
      <color rgb="FF2B2B2B"/>
      <name val="Arial"/>
    </font>
    <font>
      <u/>
      <sz val="10.0"/>
      <color rgb="FF2B2B2B"/>
      <name val="Arial"/>
    </font>
    <font>
      <color rgb="FF000000"/>
      <name val="&quot;JetBrains Mono&quot;"/>
    </font>
    <font>
      <color rgb="FF000000"/>
      <name val="Arial"/>
    </font>
    <font>
      <sz val="11.0"/>
      <color rgb="FF000000"/>
      <name val="Inconsolata"/>
    </font>
    <font>
      <i/>
      <sz val="10.0"/>
      <name val="Arial"/>
    </font>
    <font>
      <sz val="9.0"/>
      <color rgb="FF2B2B2B"/>
      <name val="Arial"/>
    </font>
    <font>
      <color rgb="FF2B2B2B"/>
      <name val="Consolas"/>
    </font>
    <font>
      <sz val="9.0"/>
      <color rgb="FFC41A16"/>
      <name val="Arial"/>
    </font>
    <font>
      <b/>
      <sz val="9.0"/>
      <color rgb="FFC41A16"/>
      <name val="Arial"/>
    </font>
    <font>
      <color rgb="FFC41A16"/>
    </font>
    <font>
      <b/>
      <sz val="10.0"/>
      <color rgb="FFFF0000"/>
      <name val="Arial"/>
    </font>
    <font>
      <b/>
      <sz val="10.0"/>
      <color rgb="FF000000"/>
      <name val="Arial"/>
    </font>
    <font>
      <sz val="11.0"/>
      <color rgb="FF2B2B2B"/>
      <name val="Arial"/>
    </font>
    <font>
      <color rgb="FF000000"/>
    </font>
    <font>
      <sz val="9.0"/>
      <color rgb="FF000000"/>
      <name val="Arial"/>
    </font>
    <font>
      <b/>
      <color rgb="FFFF0000"/>
      <name val="Arial"/>
    </font>
    <font>
      <b/>
      <sz val="11.0"/>
      <color rgb="FF008000"/>
      <name val="Arial"/>
    </font>
    <font>
      <name val="Arial"/>
    </font>
    <font>
      <b/>
      <color rgb="FF2B2B2B"/>
      <name val="Arial"/>
    </font>
    <font>
      <sz val="9.0"/>
      <color rgb="FF448C27"/>
      <name val="Menlo"/>
    </font>
    <font>
      <color rgb="FFC41A16"/>
      <name val="Arial"/>
    </font>
    <font>
      <b/>
      <color rgb="FF000000"/>
      <name val="Arial"/>
    </font>
    <font>
      <sz val="9.0"/>
      <color rgb="FF448C27"/>
      <name val="Arial"/>
    </font>
    <font>
      <sz val="9.0"/>
      <color rgb="FFCE9178"/>
      <name val="Arial"/>
    </font>
  </fonts>
  <fills count="7">
    <fill>
      <patternFill patternType="none"/>
    </fill>
    <fill>
      <patternFill patternType="lightGray"/>
    </fill>
    <fill>
      <patternFill patternType="solid">
        <fgColor rgb="FFEFEFEF"/>
        <bgColor rgb="FFEFEFEF"/>
      </patternFill>
    </fill>
    <fill>
      <patternFill patternType="solid">
        <fgColor rgb="FFFFFFFF"/>
        <bgColor rgb="FFFFFFFF"/>
      </patternFill>
    </fill>
    <fill>
      <patternFill patternType="solid">
        <fgColor rgb="FFB7E1CD"/>
        <bgColor rgb="FFB7E1CD"/>
      </patternFill>
    </fill>
    <fill>
      <patternFill patternType="solid">
        <fgColor rgb="FFF3F3F3"/>
        <bgColor rgb="FFF3F3F3"/>
      </patternFill>
    </fill>
    <fill>
      <patternFill patternType="solid">
        <fgColor rgb="FFF5F5F5"/>
        <bgColor rgb="FFF5F5F5"/>
      </patternFill>
    </fill>
  </fills>
  <borders count="2">
    <border/>
    <border>
      <right/>
    </border>
  </borders>
  <cellStyleXfs count="1">
    <xf borderId="0" fillId="0" fontId="0" numFmtId="0" applyAlignment="1" applyFont="1"/>
  </cellStyleXfs>
  <cellXfs count="95">
    <xf borderId="0" fillId="0" fontId="0" numFmtId="0" xfId="0" applyAlignment="1" applyFont="1">
      <alignment readingOrder="0" shrinkToFit="0" vertical="bottom" wrapText="0"/>
    </xf>
    <xf borderId="0" fillId="2" fontId="1" numFmtId="0" xfId="0" applyAlignment="1" applyFill="1" applyFont="1">
      <alignment readingOrder="0" shrinkToFit="0" wrapText="1"/>
    </xf>
    <xf borderId="0" fillId="0" fontId="2" numFmtId="0" xfId="0" applyAlignment="1" applyFont="1">
      <alignment vertical="bottom"/>
    </xf>
    <xf borderId="0" fillId="3" fontId="3" numFmtId="0" xfId="0" applyAlignment="1" applyFill="1" applyFont="1">
      <alignment readingOrder="0" vertical="bottom"/>
    </xf>
    <xf borderId="0" fillId="0" fontId="4" numFmtId="0" xfId="0" applyAlignment="1" applyFont="1">
      <alignment readingOrder="0" shrinkToFit="0" wrapText="1"/>
    </xf>
    <xf borderId="0" fillId="3" fontId="3" numFmtId="0" xfId="0" applyAlignment="1" applyFont="1">
      <alignment vertical="bottom"/>
    </xf>
    <xf borderId="0" fillId="0" fontId="4" numFmtId="0" xfId="0" applyAlignment="1" applyFont="1">
      <alignment readingOrder="0" shrinkToFit="0" wrapText="1"/>
    </xf>
    <xf borderId="0" fillId="0" fontId="2" numFmtId="0" xfId="0" applyAlignment="1" applyFont="1">
      <alignment readingOrder="0" vertical="bottom"/>
    </xf>
    <xf borderId="0" fillId="3" fontId="5" numFmtId="0" xfId="0" applyAlignment="1" applyFont="1">
      <alignment readingOrder="0"/>
    </xf>
    <xf borderId="0" fillId="3" fontId="3" numFmtId="0" xfId="0" applyAlignment="1" applyFont="1">
      <alignment readingOrder="0"/>
    </xf>
    <xf borderId="0" fillId="3" fontId="6" numFmtId="0" xfId="0" applyAlignment="1" applyFont="1">
      <alignment readingOrder="0" vertical="bottom"/>
    </xf>
    <xf borderId="0" fillId="3" fontId="7" numFmtId="0" xfId="0" applyAlignment="1" applyFont="1">
      <alignment readingOrder="0"/>
    </xf>
    <xf borderId="0" fillId="3" fontId="8" numFmtId="0" xfId="0" applyAlignment="1" applyFont="1">
      <alignment readingOrder="0"/>
    </xf>
    <xf borderId="0" fillId="3" fontId="9" numFmtId="0" xfId="0" applyAlignment="1" applyFont="1">
      <alignment readingOrder="0"/>
    </xf>
    <xf borderId="0" fillId="0" fontId="4" numFmtId="0" xfId="0" applyAlignment="1" applyFont="1">
      <alignment readingOrder="0"/>
    </xf>
    <xf borderId="0" fillId="4" fontId="8" numFmtId="0" xfId="0" applyAlignment="1" applyFill="1" applyFont="1">
      <alignment horizontal="left" readingOrder="0"/>
    </xf>
    <xf borderId="0" fillId="0" fontId="2" numFmtId="0" xfId="0" applyAlignment="1" applyFont="1">
      <alignment readingOrder="0"/>
    </xf>
    <xf borderId="0" fillId="0" fontId="10" numFmtId="0" xfId="0" applyAlignment="1" applyFont="1">
      <alignment readingOrder="0"/>
    </xf>
    <xf borderId="0" fillId="3" fontId="5" numFmtId="0" xfId="0" applyAlignment="1" applyFont="1">
      <alignment horizontal="left" readingOrder="0"/>
    </xf>
    <xf borderId="0" fillId="4" fontId="2" numFmtId="0" xfId="0" applyAlignment="1" applyFont="1">
      <alignment readingOrder="0" vertical="bottom"/>
    </xf>
    <xf borderId="0" fillId="4" fontId="2" numFmtId="0" xfId="0" applyAlignment="1" applyFont="1">
      <alignment readingOrder="0"/>
    </xf>
    <xf borderId="0" fillId="0" fontId="8" numFmtId="0" xfId="0" applyAlignment="1" applyFont="1">
      <alignment readingOrder="0" vertical="bottom"/>
    </xf>
    <xf borderId="0" fillId="3" fontId="5" numFmtId="0" xfId="0" applyAlignment="1" applyFont="1">
      <alignment readingOrder="0" vertical="bottom"/>
    </xf>
    <xf borderId="0" fillId="3" fontId="11" numFmtId="0" xfId="0" applyAlignment="1" applyFont="1">
      <alignment readingOrder="0" vertical="bottom"/>
    </xf>
    <xf borderId="0" fillId="3" fontId="12" numFmtId="0" xfId="0" applyAlignment="1" applyFont="1">
      <alignment readingOrder="0"/>
    </xf>
    <xf borderId="0" fillId="3" fontId="0" numFmtId="0" xfId="0" applyAlignment="1" applyFont="1">
      <alignment readingOrder="0"/>
    </xf>
    <xf borderId="0" fillId="2" fontId="0" numFmtId="0" xfId="0" applyAlignment="1" applyFont="1">
      <alignment readingOrder="0" shrinkToFit="0" vertical="bottom" wrapText="1"/>
    </xf>
    <xf borderId="0" fillId="2" fontId="1" numFmtId="0" xfId="0" applyAlignment="1" applyFont="1">
      <alignment readingOrder="0" shrinkToFit="0" vertical="bottom" wrapText="1"/>
    </xf>
    <xf borderId="0" fillId="4" fontId="1" numFmtId="0" xfId="0" applyAlignment="1" applyFont="1">
      <alignment readingOrder="0" shrinkToFit="0" vertical="bottom" wrapText="1"/>
    </xf>
    <xf borderId="0" fillId="3" fontId="5" numFmtId="0" xfId="0" applyAlignment="1" applyFont="1">
      <alignment readingOrder="0" vertical="bottom"/>
    </xf>
    <xf borderId="0" fillId="3" fontId="13" numFmtId="0" xfId="0" applyAlignment="1" applyFont="1">
      <alignment readingOrder="0"/>
    </xf>
    <xf borderId="0" fillId="3" fontId="11" numFmtId="0" xfId="0" applyAlignment="1" applyFont="1">
      <alignment readingOrder="0"/>
    </xf>
    <xf borderId="0" fillId="3" fontId="14" numFmtId="0" xfId="0" applyAlignment="1" applyFont="1">
      <alignment readingOrder="0" shrinkToFit="0" vertical="bottom" wrapText="1"/>
    </xf>
    <xf borderId="0" fillId="3" fontId="15" numFmtId="0" xfId="0" applyAlignment="1" applyFont="1">
      <alignment readingOrder="0"/>
    </xf>
    <xf borderId="0" fillId="3" fontId="11" numFmtId="0" xfId="0" applyAlignment="1" applyFont="1">
      <alignment readingOrder="0" shrinkToFit="0" wrapText="1"/>
    </xf>
    <xf borderId="0" fillId="2" fontId="16" numFmtId="0" xfId="0" applyAlignment="1" applyFont="1">
      <alignment readingOrder="0" shrinkToFit="0" vertical="bottom" wrapText="1"/>
    </xf>
    <xf borderId="0" fillId="3" fontId="11" numFmtId="0" xfId="0" applyAlignment="1" applyFont="1">
      <alignment readingOrder="0" shrinkToFit="0" vertical="bottom" wrapText="1"/>
    </xf>
    <xf borderId="0" fillId="2" fontId="17" numFmtId="0" xfId="0" applyAlignment="1" applyFont="1">
      <alignment readingOrder="0" shrinkToFit="0" vertical="bottom" wrapText="1"/>
    </xf>
    <xf borderId="0" fillId="2" fontId="8" numFmtId="0" xfId="0" applyAlignment="1" applyFont="1">
      <alignment readingOrder="0" shrinkToFit="0" vertical="bottom" wrapText="1"/>
    </xf>
    <xf borderId="0" fillId="3" fontId="5" numFmtId="0" xfId="0" applyAlignment="1" applyFont="1">
      <alignment readingOrder="0" shrinkToFit="0" vertical="bottom" wrapText="1"/>
    </xf>
    <xf borderId="0" fillId="3" fontId="3" numFmtId="0" xfId="0" applyAlignment="1" applyFont="1">
      <alignment readingOrder="0" shrinkToFit="0" vertical="bottom" wrapText="1"/>
    </xf>
    <xf borderId="0" fillId="3" fontId="18" numFmtId="0" xfId="0" applyAlignment="1" applyFont="1">
      <alignment readingOrder="0" shrinkToFit="0" vertical="bottom" wrapText="1"/>
    </xf>
    <xf borderId="0" fillId="4" fontId="8" numFmtId="0" xfId="0" applyAlignment="1" applyFont="1">
      <alignment readingOrder="0" shrinkToFit="0" vertical="bottom" wrapText="1"/>
    </xf>
    <xf borderId="1" fillId="3" fontId="18" numFmtId="0" xfId="0" applyAlignment="1" applyBorder="1" applyFont="1">
      <alignment readingOrder="0" shrinkToFit="0" vertical="bottom" wrapText="1"/>
    </xf>
    <xf borderId="0" fillId="3" fontId="19" numFmtId="0" xfId="0" applyAlignment="1" applyFont="1">
      <alignment readingOrder="0"/>
    </xf>
    <xf borderId="0" fillId="5" fontId="8" numFmtId="0" xfId="0" applyAlignment="1" applyFill="1" applyFont="1">
      <alignment readingOrder="0" shrinkToFit="0" vertical="bottom" wrapText="1"/>
    </xf>
    <xf borderId="0" fillId="3" fontId="5" numFmtId="0" xfId="0" applyAlignment="1" applyFont="1">
      <alignment readingOrder="0" vertical="bottom"/>
    </xf>
    <xf borderId="0" fillId="4" fontId="8" numFmtId="0" xfId="0" applyAlignment="1" applyFont="1">
      <alignment readingOrder="0" shrinkToFit="0" vertical="bottom" wrapText="1"/>
    </xf>
    <xf borderId="0" fillId="3" fontId="5" numFmtId="0" xfId="0" applyAlignment="1" applyFont="1">
      <alignment readingOrder="0" shrinkToFit="0" vertical="bottom" wrapText="1"/>
    </xf>
    <xf borderId="0" fillId="4" fontId="20" numFmtId="0" xfId="0" applyAlignment="1" applyFont="1">
      <alignment readingOrder="0" shrinkToFit="0" vertical="bottom" wrapText="1"/>
    </xf>
    <xf borderId="0" fillId="3" fontId="3" numFmtId="0" xfId="0" applyAlignment="1" applyFont="1">
      <alignment readingOrder="0" shrinkToFit="0" vertical="bottom" wrapText="1"/>
    </xf>
    <xf borderId="0" fillId="4" fontId="20" numFmtId="0" xfId="0" applyAlignment="1" applyFont="1">
      <alignment readingOrder="0" shrinkToFit="0" vertical="bottom" wrapText="1"/>
    </xf>
    <xf borderId="1" fillId="3" fontId="3" numFmtId="0" xfId="0" applyAlignment="1" applyBorder="1" applyFont="1">
      <alignment readingOrder="0" shrinkToFit="0" vertical="bottom" wrapText="1"/>
    </xf>
    <xf borderId="0" fillId="2" fontId="20" numFmtId="0" xfId="0" applyAlignment="1" applyFont="1">
      <alignment readingOrder="0" shrinkToFit="0" vertical="bottom" wrapText="1"/>
    </xf>
    <xf borderId="0" fillId="3" fontId="20" numFmtId="0" xfId="0" applyAlignment="1" applyFont="1">
      <alignment readingOrder="0" vertical="bottom"/>
    </xf>
    <xf borderId="1" fillId="3" fontId="3" numFmtId="0" xfId="0" applyAlignment="1" applyBorder="1" applyFont="1">
      <alignment readingOrder="0" shrinkToFit="0" vertical="bottom" wrapText="1"/>
    </xf>
    <xf borderId="0" fillId="3" fontId="3" numFmtId="0" xfId="0" applyAlignment="1" applyFont="1">
      <alignment readingOrder="0" shrinkToFit="0" vertical="bottom" wrapText="1"/>
    </xf>
    <xf borderId="0" fillId="4" fontId="21" numFmtId="0" xfId="0" applyAlignment="1" applyFont="1">
      <alignment shrinkToFit="0" vertical="bottom" wrapText="1"/>
    </xf>
    <xf borderId="0" fillId="4" fontId="22" numFmtId="0" xfId="0" applyAlignment="1" applyFont="1">
      <alignment vertical="bottom"/>
    </xf>
    <xf borderId="0" fillId="3" fontId="5" numFmtId="0" xfId="0" applyAlignment="1" applyFont="1">
      <alignment vertical="bottom"/>
    </xf>
    <xf borderId="0" fillId="4" fontId="1" numFmtId="0" xfId="0" applyAlignment="1" applyFont="1">
      <alignment shrinkToFit="0" vertical="bottom" wrapText="1"/>
    </xf>
    <xf borderId="0" fillId="4" fontId="13" numFmtId="0" xfId="0" applyAlignment="1" applyFont="1">
      <alignment vertical="bottom"/>
    </xf>
    <xf borderId="0" fillId="4" fontId="23" numFmtId="0" xfId="0" applyAlignment="1" applyFont="1">
      <alignment vertical="bottom"/>
    </xf>
    <xf borderId="0" fillId="3" fontId="5" numFmtId="0" xfId="0" applyAlignment="1" applyFont="1">
      <alignment vertical="bottom"/>
    </xf>
    <xf borderId="0" fillId="3" fontId="9" numFmtId="0" xfId="0" applyAlignment="1" applyFont="1">
      <alignment vertical="bottom"/>
    </xf>
    <xf borderId="0" fillId="0" fontId="23" numFmtId="0" xfId="0" applyAlignment="1" applyFont="1">
      <alignment shrinkToFit="0" vertical="bottom" wrapText="1"/>
    </xf>
    <xf borderId="0" fillId="4" fontId="8" numFmtId="0" xfId="0" applyAlignment="1" applyFont="1">
      <alignment vertical="bottom"/>
    </xf>
    <xf borderId="0" fillId="3" fontId="5" numFmtId="0" xfId="0" applyAlignment="1" applyFont="1">
      <alignment vertical="bottom"/>
    </xf>
    <xf borderId="0" fillId="4" fontId="5" numFmtId="0" xfId="0" applyAlignment="1" applyFont="1">
      <alignment vertical="bottom"/>
    </xf>
    <xf borderId="0" fillId="3" fontId="11" numFmtId="0" xfId="0" applyAlignment="1" applyFont="1">
      <alignment shrinkToFit="0" vertical="bottom" wrapText="1"/>
    </xf>
    <xf borderId="0" fillId="4" fontId="24" numFmtId="0" xfId="0" applyAlignment="1" applyFont="1">
      <alignment shrinkToFit="0" vertical="bottom" wrapText="1"/>
    </xf>
    <xf borderId="0" fillId="4" fontId="8" numFmtId="0" xfId="0" applyAlignment="1" applyFont="1">
      <alignment shrinkToFit="0" vertical="bottom" wrapText="1"/>
    </xf>
    <xf borderId="0" fillId="3" fontId="5" numFmtId="0" xfId="0" applyAlignment="1" applyFont="1">
      <alignment vertical="bottom"/>
    </xf>
    <xf borderId="0" fillId="4" fontId="13" numFmtId="0" xfId="0" applyAlignment="1" applyFont="1">
      <alignment vertical="bottom"/>
    </xf>
    <xf borderId="0" fillId="3" fontId="11" numFmtId="0" xfId="0" applyAlignment="1" applyFont="1">
      <alignment vertical="bottom"/>
    </xf>
    <xf borderId="0" fillId="3" fontId="5" numFmtId="0" xfId="0" applyAlignment="1" applyFont="1">
      <alignment shrinkToFit="0" vertical="bottom" wrapText="1"/>
    </xf>
    <xf borderId="0" fillId="6" fontId="25" numFmtId="0" xfId="0" applyAlignment="1" applyFill="1" applyFont="1">
      <alignment vertical="bottom"/>
    </xf>
    <xf borderId="0" fillId="4" fontId="26" numFmtId="0" xfId="0" applyAlignment="1" applyFont="1">
      <alignment vertical="bottom"/>
    </xf>
    <xf borderId="0" fillId="3" fontId="11" numFmtId="0" xfId="0" applyAlignment="1" applyFont="1">
      <alignment shrinkToFit="0" vertical="bottom" wrapText="1"/>
    </xf>
    <xf borderId="0" fillId="4" fontId="23" numFmtId="0" xfId="0" applyAlignment="1" applyFont="1">
      <alignment vertical="bottom"/>
    </xf>
    <xf borderId="0" fillId="4" fontId="21" numFmtId="0" xfId="0" applyAlignment="1" applyFont="1">
      <alignment shrinkToFit="0" vertical="bottom" wrapText="1"/>
    </xf>
    <xf borderId="0" fillId="4" fontId="27" numFmtId="0" xfId="0" applyAlignment="1" applyFont="1">
      <alignment shrinkToFit="0" vertical="bottom" wrapText="1"/>
    </xf>
    <xf borderId="0" fillId="3" fontId="28" numFmtId="0" xfId="0" applyAlignment="1" applyFont="1">
      <alignment vertical="bottom"/>
    </xf>
    <xf borderId="0" fillId="4" fontId="25" numFmtId="0" xfId="0" applyAlignment="1" applyFont="1">
      <alignment vertical="bottom"/>
    </xf>
    <xf borderId="0" fillId="3" fontId="5" numFmtId="0" xfId="0" applyAlignment="1" applyFont="1">
      <alignment readingOrder="0" vertical="bottom"/>
    </xf>
    <xf borderId="0" fillId="4" fontId="23" numFmtId="0" xfId="0" applyAlignment="1" applyFont="1">
      <alignment readingOrder="0" shrinkToFit="0" vertical="bottom" wrapText="1"/>
    </xf>
    <xf borderId="0" fillId="4" fontId="23" numFmtId="0" xfId="0" applyAlignment="1" applyFont="1">
      <alignment vertical="bottom"/>
    </xf>
    <xf borderId="0" fillId="3" fontId="23" numFmtId="0" xfId="0" applyAlignment="1" applyFont="1">
      <alignment vertical="bottom"/>
    </xf>
    <xf borderId="0" fillId="4" fontId="23" numFmtId="0" xfId="0" applyAlignment="1" applyFont="1">
      <alignment readingOrder="0" shrinkToFit="0" vertical="bottom" wrapText="1"/>
    </xf>
    <xf borderId="0" fillId="3" fontId="11" numFmtId="0" xfId="0" applyAlignment="1" applyFont="1">
      <alignment readingOrder="0" shrinkToFit="0" vertical="bottom" wrapText="1"/>
    </xf>
    <xf borderId="0" fillId="3" fontId="11" numFmtId="0" xfId="0" applyAlignment="1" applyFont="1">
      <alignment horizontal="left" readingOrder="0"/>
    </xf>
    <xf borderId="0" fillId="3" fontId="11" numFmtId="0" xfId="0" applyAlignment="1" applyFont="1">
      <alignment horizontal="left" readingOrder="0"/>
    </xf>
    <xf borderId="0" fillId="3" fontId="29" numFmtId="0" xfId="0" applyAlignment="1" applyFont="1">
      <alignment readingOrder="0" vertical="bottom"/>
    </xf>
    <xf borderId="0" fillId="5" fontId="11" numFmtId="0" xfId="0" applyAlignment="1" applyFont="1">
      <alignment readingOrder="0" vertical="bottom"/>
    </xf>
    <xf borderId="0" fillId="3" fontId="19" numFmtId="0" xfId="0" applyFont="1"/>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6">
    <tableStyle count="2" pivot="0" name="Sheet1-style">
      <tableStyleElement dxfId="1" type="firstRowStripe"/>
      <tableStyleElement dxfId="2" type="secondRowStripe"/>
    </tableStyle>
    <tableStyle count="2" pivot="0" name="Sheet1-style 2">
      <tableStyleElement dxfId="1" type="firstRowStripe"/>
      <tableStyleElement dxfId="2" type="secondRowStripe"/>
    </tableStyle>
    <tableStyle count="2" pivot="0" name="Sheet1-style 3">
      <tableStyleElement dxfId="2" type="firstRowStripe"/>
      <tableStyleElement dxfId="1" type="secondRowStripe"/>
    </tableStyle>
    <tableStyle count="2" pivot="0" name="Sheet1-style 4">
      <tableStyleElement dxfId="1" type="firstRowStripe"/>
      <tableStyleElement dxfId="2" type="secondRowStripe"/>
    </tableStyle>
    <tableStyle count="2" pivot="0" name="Sheet1-style 5">
      <tableStyleElement dxfId="2" type="firstRowStripe"/>
      <tableStyleElement dxfId="1" type="secondRowStripe"/>
    </tableStyle>
    <tableStyle count="2" pivot="0" name="Sheet1-style 6">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368:B403" displayName="Table_1" name="Table_1" id="1">
  <tableColumns count="2">
    <tableColumn name="Column1" id="1"/>
    <tableColumn name="Column2" id="2"/>
  </tableColumns>
  <tableStyleInfo name="Sheet1-style" showColumnStripes="0" showFirstColumn="1" showLastColumn="1" showRowStripes="1"/>
</table>
</file>

<file path=xl/tables/table2.xml><?xml version="1.0" encoding="utf-8"?>
<table xmlns="http://schemas.openxmlformats.org/spreadsheetml/2006/main" headerRowCount="0" ref="A404:B450" displayName="Table_2" name="Table_2" id="2">
  <tableColumns count="2">
    <tableColumn name="Column1" id="1"/>
    <tableColumn name="Column2" id="2"/>
  </tableColumns>
  <tableStyleInfo name="Sheet1-style 2" showColumnStripes="0" showFirstColumn="1" showLastColumn="1" showRowStripes="1"/>
</table>
</file>

<file path=xl/tables/table3.xml><?xml version="1.0" encoding="utf-8"?>
<table xmlns="http://schemas.openxmlformats.org/spreadsheetml/2006/main" headerRowCount="0" ref="A451:A479" displayName="Table_3" name="Table_3" id="3">
  <tableColumns count="1">
    <tableColumn name="Column1" id="1"/>
  </tableColumns>
  <tableStyleInfo name="Sheet1-style 3" showColumnStripes="0" showFirstColumn="1" showLastColumn="1" showRowStripes="1"/>
</table>
</file>

<file path=xl/tables/table4.xml><?xml version="1.0" encoding="utf-8"?>
<table xmlns="http://schemas.openxmlformats.org/spreadsheetml/2006/main" headerRowCount="0" ref="B451:B479" displayName="Table_4" name="Table_4" id="4">
  <tableColumns count="1">
    <tableColumn name="Column1" id="1"/>
  </tableColumns>
  <tableStyleInfo name="Sheet1-style 4" showColumnStripes="0" showFirstColumn="1" showLastColumn="1" showRowStripes="1"/>
</table>
</file>

<file path=xl/tables/table5.xml><?xml version="1.0" encoding="utf-8"?>
<table xmlns="http://schemas.openxmlformats.org/spreadsheetml/2006/main" headerRowCount="0" ref="A540:A684" displayName="Table_5" name="Table_5" id="5">
  <tableColumns count="1">
    <tableColumn name="Column1" id="1"/>
  </tableColumns>
  <tableStyleInfo name="Sheet1-style 5" showColumnStripes="0" showFirstColumn="1" showLastColumn="1" showRowStripes="1"/>
</table>
</file>

<file path=xl/tables/table6.xml><?xml version="1.0" encoding="utf-8"?>
<table xmlns="http://schemas.openxmlformats.org/spreadsheetml/2006/main" headerRowCount="0" ref="B540:B682" displayName="Table_6" name="Table_6" id="6">
  <tableColumns count="1">
    <tableColumn name="Column1" id="1"/>
  </tableColumns>
  <tableStyleInfo name="Sheet1-style 6" showColumnStripes="0" showFirstColumn="1" showLastColumn="1" showRowStripes="1"/>
</tabl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1" Type="http://schemas.openxmlformats.org/officeDocument/2006/relationships/table" Target="../tables/table4.xml"/><Relationship Id="rId10" Type="http://schemas.openxmlformats.org/officeDocument/2006/relationships/table" Target="../tables/table3.xml"/><Relationship Id="rId13" Type="http://schemas.openxmlformats.org/officeDocument/2006/relationships/table" Target="../tables/table6.xml"/><Relationship Id="rId12" Type="http://schemas.openxmlformats.org/officeDocument/2006/relationships/table" Target="../tables/table5.xml"/><Relationship Id="rId9" Type="http://schemas.openxmlformats.org/officeDocument/2006/relationships/table" Target="../tables/table2.xml"/><Relationship Id="rId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6.0"/>
    <col customWidth="1" min="2" max="2" width="55.25"/>
    <col customWidth="1" min="3" max="3" width="29.88"/>
    <col customWidth="1" min="4" max="4" width="20.75"/>
    <col customWidth="1" min="5" max="5" width="30.88"/>
    <col customWidth="1" min="6" max="6" width="26.63"/>
    <col customWidth="1" min="7" max="7" width="29.88"/>
    <col customWidth="1" min="8" max="8" width="25.75"/>
    <col customWidth="1" min="9" max="9" width="26.5"/>
    <col customWidth="1" min="10" max="10" width="25.63"/>
    <col customWidth="1" min="11" max="11" width="30.88"/>
    <col customWidth="1" min="12" max="12" width="28.5"/>
    <col customWidth="1" min="13" max="13" width="29.5"/>
    <col customWidth="1" min="14" max="14" width="27.63"/>
    <col customWidth="1" min="15" max="15" width="54.25"/>
  </cols>
  <sheetData>
    <row r="1">
      <c r="A1" s="1"/>
      <c r="B1" s="1" t="s">
        <v>0</v>
      </c>
      <c r="C1" s="1" t="s">
        <v>1</v>
      </c>
      <c r="D1" s="1" t="s">
        <v>2</v>
      </c>
      <c r="E1" s="1" t="s">
        <v>3</v>
      </c>
      <c r="F1" s="1" t="s">
        <v>4</v>
      </c>
      <c r="G1" s="1" t="s">
        <v>5</v>
      </c>
      <c r="H1" s="1" t="s">
        <v>6</v>
      </c>
      <c r="I1" s="1" t="s">
        <v>7</v>
      </c>
      <c r="J1" s="1" t="s">
        <v>8</v>
      </c>
      <c r="K1" s="1" t="s">
        <v>9</v>
      </c>
      <c r="L1" s="1" t="s">
        <v>10</v>
      </c>
      <c r="M1" s="1" t="s">
        <v>11</v>
      </c>
      <c r="N1" s="1" t="s">
        <v>12</v>
      </c>
      <c r="O1" s="1" t="s">
        <v>13</v>
      </c>
    </row>
    <row r="2">
      <c r="A2" s="2" t="s">
        <v>14</v>
      </c>
      <c r="B2" s="3" t="s">
        <v>15</v>
      </c>
      <c r="C2" s="4" t="str">
        <f>IFERROR(__xludf.DUMMYFUNCTION("GOOGLETRANSLATE(B2,""en"",""hi"")"),"या सोशल मीडिया में प्रवेश करें")</f>
        <v>या सोशल मीडिया में प्रवेश करें</v>
      </c>
      <c r="D2" s="4" t="str">
        <f>IFERROR(__xludf.DUMMYFUNCTION("GOOGLETRANSLATE(B2,""en"",""ar"")"),"أو أدخل وسائل التواصل الاجتماعي")</f>
        <v>أو أدخل وسائل التواصل الاجتماعي</v>
      </c>
      <c r="E2" s="4" t="str">
        <f>IFERROR(__xludf.DUMMYFUNCTION("GOOGLETRANSLATE(B2,""en"",""fr"")"),"Ou entrez dans les médias sociaux")</f>
        <v>Ou entrez dans les médias sociaux</v>
      </c>
      <c r="F2" s="4" t="str">
        <f>IFERROR(__xludf.DUMMYFUNCTION("GOOGLETRANSLATE(B2,""en"",""tr"")"),"Veya Sosyal Medyaya Girin")</f>
        <v>Veya Sosyal Medyaya Girin</v>
      </c>
      <c r="G2" s="4" t="str">
        <f>IFERROR(__xludf.DUMMYFUNCTION("GOOGLETRANSLATE(B2,""en"",""ru"")"),"Или войдите в социальные сети")</f>
        <v>Или войдите в социальные сети</v>
      </c>
      <c r="H2" s="4" t="str">
        <f>IFERROR(__xludf.DUMMYFUNCTION("GOOGLETRANSLATE(B2,""en"",""it"")"),"Oppure entra nei social media")</f>
        <v>Oppure entra nei social media</v>
      </c>
      <c r="I2" s="4" t="str">
        <f>IFERROR(__xludf.DUMMYFUNCTION("GOOGLETRANSLATE(B2,""en"",""de"")"),"Oder betreten Sie Social Media")</f>
        <v>Oder betreten Sie Social Media</v>
      </c>
      <c r="J2" s="4" t="str">
        <f>IFERROR(__xludf.DUMMYFUNCTION("GOOGLETRANSLATE(B2,""en"",""ko"")"),"또는 소셜 미디어에 들어가세요")</f>
        <v>또는 소셜 미디어에 들어가세요</v>
      </c>
      <c r="K2" s="4" t="str">
        <f>IFERROR(__xludf.DUMMYFUNCTION("GOOGLETRANSLATE(B2,""en"",""zh"")"),"或进入社交媒体")</f>
        <v>或进入社交媒体</v>
      </c>
      <c r="L2" s="4" t="str">
        <f>IFERROR(__xludf.DUMMYFUNCTION("GOOGLETRANSLATE(B2,""en"",""es"")"),"O ingrese a las redes sociales")</f>
        <v>O ingrese a las redes sociales</v>
      </c>
      <c r="M2" s="4" t="str">
        <f>IFERROR(__xludf.DUMMYFUNCTION("GOOGLETRANSLATE(B2,""en"",""iw"")"),"או היכנס לרשתות חברתיות")</f>
        <v>או היכנס לרשתות חברתיות</v>
      </c>
      <c r="N2" s="4" t="str">
        <f>IFERROR(__xludf.DUMMYFUNCTION("GOOGLETRANSLATE(B2,""en"",""bn"")"),"অথবা সোশ্যাল মিডিয়াতে প্রবেশ করুন")</f>
        <v>অথবা সোশ্যাল মিডিয়াতে প্রবেশ করুন</v>
      </c>
      <c r="O2" s="4" t="str">
        <f>IFERROR(__xludf.DUMMYFUNCTION("GOOGLETRANSLATE(B2,""en"",""pt"")"),"Ou entre nas mídias sociais")</f>
        <v>Ou entre nas mídias sociais</v>
      </c>
    </row>
    <row r="3">
      <c r="A3" s="2" t="s">
        <v>16</v>
      </c>
      <c r="B3" s="5" t="s">
        <v>17</v>
      </c>
      <c r="C3" s="4" t="str">
        <f>IFERROR(__xludf.DUMMYFUNCTION("GOOGLETRANSLATE(B3,""en"",""hi"")"),"साइन अप करें")</f>
        <v>साइन अप करें</v>
      </c>
      <c r="D3" s="6" t="s">
        <v>18</v>
      </c>
      <c r="E3" s="4" t="str">
        <f>IFERROR(__xludf.DUMMYFUNCTION("GOOGLETRANSLATE(B3,""en"",""fr"")"),"S'inscrire")</f>
        <v>S'inscrire</v>
      </c>
      <c r="F3" s="4" t="str">
        <f>IFERROR(__xludf.DUMMYFUNCTION("GOOGLETRANSLATE(B3,""en"",""tr"")"),"Üye olmak")</f>
        <v>Üye olmak</v>
      </c>
      <c r="G3" s="4" t="str">
        <f>IFERROR(__xludf.DUMMYFUNCTION("GOOGLETRANSLATE(B3,""en"",""ru"")"),"Зарегистрироваться")</f>
        <v>Зарегистрироваться</v>
      </c>
      <c r="H3" s="4" t="str">
        <f>IFERROR(__xludf.DUMMYFUNCTION("GOOGLETRANSLATE(B3,""en"",""it"")"),"Iscrizione")</f>
        <v>Iscrizione</v>
      </c>
      <c r="I3" s="4" t="str">
        <f>IFERROR(__xludf.DUMMYFUNCTION("GOOGLETRANSLATE(B3,""en"",""de"")"),"Melden Sie sich an")</f>
        <v>Melden Sie sich an</v>
      </c>
      <c r="J3" s="4" t="str">
        <f>IFERROR(__xludf.DUMMYFUNCTION("GOOGLETRANSLATE(B3,""en"",""ko"")"),"가입하기")</f>
        <v>가입하기</v>
      </c>
      <c r="K3" s="4" t="str">
        <f>IFERROR(__xludf.DUMMYFUNCTION("GOOGLETRANSLATE(B3,""en"",""zh"")"),"报名")</f>
        <v>报名</v>
      </c>
      <c r="L3" s="4" t="str">
        <f>IFERROR(__xludf.DUMMYFUNCTION("GOOGLETRANSLATE(B3,""en"",""es"")"),"Inscribirse")</f>
        <v>Inscribirse</v>
      </c>
      <c r="M3" s="4" t="str">
        <f>IFERROR(__xludf.DUMMYFUNCTION("GOOGLETRANSLATE(B3,""en"",""iw"")"),"הירשם")</f>
        <v>הירשם</v>
      </c>
      <c r="N3" s="4" t="str">
        <f>IFERROR(__xludf.DUMMYFUNCTION("GOOGLETRANSLATE(B3,""en"",""bn"")"),"সাইন আপ করুন")</f>
        <v>সাইন আপ করুন</v>
      </c>
      <c r="O3" s="4" t="str">
        <f>IFERROR(__xludf.DUMMYFUNCTION("GOOGLETRANSLATE(B3,""en"",""pt"")"),"Inscrever-se")</f>
        <v>Inscrever-se</v>
      </c>
    </row>
    <row r="4">
      <c r="A4" s="7" t="s">
        <v>19</v>
      </c>
      <c r="B4" s="3" t="s">
        <v>20</v>
      </c>
      <c r="C4" s="4" t="str">
        <f>IFERROR(__xludf.DUMMYFUNCTION("GOOGLETRANSLATE(B4,""en"",""hi"")"),"ड्राइवर का स्थान ट्रैक करना")</f>
        <v>ड्राइवर का स्थान ट्रैक करना</v>
      </c>
      <c r="D4" s="4" t="str">
        <f>IFERROR(__xludf.DUMMYFUNCTION("GOOGLETRANSLATE(B4,""en"",""ar"")"),"تتبع موقع السائق")</f>
        <v>تتبع موقع السائق</v>
      </c>
      <c r="E4" s="4" t="str">
        <f>IFERROR(__xludf.DUMMYFUNCTION("GOOGLETRANSLATE(B4,""en"",""fr"")"),"Suivi de l'emplacement du conducteur")</f>
        <v>Suivi de l'emplacement du conducteur</v>
      </c>
      <c r="F4" s="4" t="str">
        <f>IFERROR(__xludf.DUMMYFUNCTION("GOOGLETRANSLATE(B4,""en"",""tr"")"),"Sürücü Konumunun Takibi")</f>
        <v>Sürücü Konumunun Takibi</v>
      </c>
      <c r="G4" s="4" t="str">
        <f>IFERROR(__xludf.DUMMYFUNCTION("GOOGLETRANSLATE(B4,""en"",""ru"")"),"Отслеживание местонахождения водителя")</f>
        <v>Отслеживание местонахождения водителя</v>
      </c>
      <c r="H4" s="4" t="str">
        <f>IFERROR(__xludf.DUMMYFUNCTION("GOOGLETRANSLATE(B4,""en"",""it"")"),"Tracciamento della posizione del conducente")</f>
        <v>Tracciamento della posizione del conducente</v>
      </c>
      <c r="I4" s="4" t="str">
        <f>IFERROR(__xludf.DUMMYFUNCTION("GOOGLETRANSLATE(B4,""en"",""de"")"),"Fahrerstandort verfolgen")</f>
        <v>Fahrerstandort verfolgen</v>
      </c>
      <c r="J4" s="4" t="str">
        <f>IFERROR(__xludf.DUMMYFUNCTION("GOOGLETRANSLATE(B4,""en"",""ko"")"),"운전자 위치 추적")</f>
        <v>운전자 위치 추적</v>
      </c>
      <c r="K4" s="4" t="str">
        <f>IFERROR(__xludf.DUMMYFUNCTION("GOOGLETRANSLATE(B4,""en"",""zh"")"),"追踪驾驶员位置")</f>
        <v>追踪驾驶员位置</v>
      </c>
      <c r="L4" s="4" t="str">
        <f>IFERROR(__xludf.DUMMYFUNCTION("GOOGLETRANSLATE(B4,""en"",""es"")"),"Seguimiento de la ubicación del conductor")</f>
        <v>Seguimiento de la ubicación del conductor</v>
      </c>
      <c r="M4" s="4" t="str">
        <f>IFERROR(__xludf.DUMMYFUNCTION("GOOGLETRANSLATE(B4,""en"",""iw"")"),"מעקב אחר מיקום נהג")</f>
        <v>מעקב אחר מיקום נהג</v>
      </c>
      <c r="N4" s="4" t="str">
        <f>IFERROR(__xludf.DUMMYFUNCTION("GOOGLETRANSLATE(B4,""en"",""bn"")"),"ড্রাইভার অবস্থান ট্র্যাকিং")</f>
        <v>ড্রাইভার অবস্থান ট্র্যাকিং</v>
      </c>
      <c r="O4" s="4" t="str">
        <f>IFERROR(__xludf.DUMMYFUNCTION("GOOGLETRANSLATE(B4,""en"",""pt"")"),"Rastreamento da localização do motorista")</f>
        <v>Rastreamento da localização do motorista</v>
      </c>
    </row>
    <row r="5">
      <c r="A5" s="7" t="s">
        <v>21</v>
      </c>
      <c r="B5" s="3" t="str">
        <f>proper("Remember to keep track of Ride professional accomplishments")</f>
        <v>Remember To Keep Track Of Ride Professional Accomplishments</v>
      </c>
      <c r="C5" s="4" t="str">
        <f>IFERROR(__xludf.DUMMYFUNCTION("GOOGLETRANSLATE(B5,""en"",""hi"")"),"सवारी की व्यावसायिक उपलब्धियों पर नज़र रखना याद रखें")</f>
        <v>सवारी की व्यावसायिक उपलब्धियों पर नज़र रखना याद रखें</v>
      </c>
      <c r="D5" s="4" t="str">
        <f>IFERROR(__xludf.DUMMYFUNCTION("GOOGLETRANSLATE(B5,""en"",""ar"")"),"تذكر أن تتابع إنجازاتك المهنية أثناء الركوب")</f>
        <v>تذكر أن تتابع إنجازاتك المهنية أثناء الركوب</v>
      </c>
      <c r="E5" s="4" t="str">
        <f>IFERROR(__xludf.DUMMYFUNCTION("GOOGLETRANSLATE(B5,""en"",""fr"")"),"N'oubliez pas de suivre les réalisations professionnelles de Ride")</f>
        <v>N'oubliez pas de suivre les réalisations professionnelles de Ride</v>
      </c>
      <c r="F5" s="4" t="str">
        <f>IFERROR(__xludf.DUMMYFUNCTION("GOOGLETRANSLATE(B5,""en"",""tr"")"),"Ride Professional Başarılarınızı Takip Etmeyi Unutmayın")</f>
        <v>Ride Professional Başarılarınızı Takip Etmeyi Unutmayın</v>
      </c>
      <c r="G5" s="4" t="str">
        <f>IFERROR(__xludf.DUMMYFUNCTION("GOOGLETRANSLATE(B5,""en"",""ru"")"),"Не забудьте записать свои профессиональные достижения в вождении")</f>
        <v>Не забудьте записать свои профессиональные достижения в вождении</v>
      </c>
      <c r="H5" s="4" t="str">
        <f>IFERROR(__xludf.DUMMYFUNCTION("GOOGLETRANSLATE(B5,""en"",""it"")"),"Ricordati di tenere traccia dei risultati professionali del tuo giro")</f>
        <v>Ricordati di tenere traccia dei risultati professionali del tuo giro</v>
      </c>
      <c r="I5" s="4" t="str">
        <f>IFERROR(__xludf.DUMMYFUNCTION("GOOGLETRANSLATE(B5,""en"",""de"")"),"Denken Sie daran, die beruflichen Erfolge Ihrer Fahrten im Auge zu behalten")</f>
        <v>Denken Sie daran, die beruflichen Erfolge Ihrer Fahrten im Auge zu behalten</v>
      </c>
      <c r="J5" s="4" t="str">
        <f>IFERROR(__xludf.DUMMYFUNCTION("GOOGLETRANSLATE(B5,""en"",""ko"")"),"라이드 프로페셔널 성과를 추적하는 것을 잊지 마세요")</f>
        <v>라이드 프로페셔널 성과를 추적하는 것을 잊지 마세요</v>
      </c>
      <c r="K5" s="4" t="str">
        <f>IFERROR(__xludf.DUMMYFUNCTION("GOOGLETRANSLATE(B5,""en"",""zh"")"),"记住要记录骑行专业成就")</f>
        <v>记住要记录骑行专业成就</v>
      </c>
      <c r="L5" s="4" t="str">
        <f>IFERROR(__xludf.DUMMYFUNCTION("GOOGLETRANSLATE(B5,""en"",""es"")"),"Recuerde realizar un seguimiento de los logros profesionales de Ride")</f>
        <v>Recuerde realizar un seguimiento de los logros profesionales de Ride</v>
      </c>
      <c r="M5" s="4" t="str">
        <f>IFERROR(__xludf.DUMMYFUNCTION("GOOGLETRANSLATE(B5,""en"",""iw"")"),"זכור לעקוב אחר הישגי הרכיבה המקצועיים")</f>
        <v>זכור לעקוב אחר הישגי הרכיבה המקצועיים</v>
      </c>
      <c r="N5" s="4" t="str">
        <f>IFERROR(__xludf.DUMMYFUNCTION("GOOGLETRANSLATE(B5,""en"",""bn"")"),"রাইড পেশাদার অর্জনের ট্র্যাক রাখতে মনে রাখবেন")</f>
        <v>রাইড পেশাদার অর্জনের ট্র্যাক রাখতে মনে রাখবেন</v>
      </c>
      <c r="O5" s="4" t="str">
        <f>IFERROR(__xludf.DUMMYFUNCTION("GOOGLETRANSLATE(B5,""en"",""pt"")"),"Lembre-se de acompanhar as realizações profissionais do passeio")</f>
        <v>Lembre-se de acompanhar as realizações profissionais do passeio</v>
      </c>
    </row>
    <row r="6">
      <c r="A6" s="7" t="s">
        <v>22</v>
      </c>
      <c r="B6" s="3" t="s">
        <v>23</v>
      </c>
      <c r="C6" s="4" t="str">
        <f>IFERROR(__xludf.DUMMYFUNCTION("GOOGLETRANSLATE(B6,""en"",""hi"")"),"छोडना")</f>
        <v>छोडना</v>
      </c>
      <c r="D6" s="6" t="s">
        <v>24</v>
      </c>
      <c r="E6" s="4" t="str">
        <f>IFERROR(__xludf.DUMMYFUNCTION("GOOGLETRANSLATE(B6,""en"",""fr"")"),"Sauter")</f>
        <v>Sauter</v>
      </c>
      <c r="F6" s="4" t="str">
        <f>IFERROR(__xludf.DUMMYFUNCTION("GOOGLETRANSLATE(B6,""en"",""tr"")"),"Atlamak")</f>
        <v>Atlamak</v>
      </c>
      <c r="G6" s="4" t="str">
        <f>IFERROR(__xludf.DUMMYFUNCTION("GOOGLETRANSLATE(B6,""en"",""ru"")"),"Пропускать")</f>
        <v>Пропускать</v>
      </c>
      <c r="H6" s="4" t="str">
        <f>IFERROR(__xludf.DUMMYFUNCTION("GOOGLETRANSLATE(B6,""en"",""it"")"),"Saltare")</f>
        <v>Saltare</v>
      </c>
      <c r="I6" s="4" t="str">
        <f>IFERROR(__xludf.DUMMYFUNCTION("GOOGLETRANSLATE(B6,""en"",""de"")"),"Überspringen")</f>
        <v>Überspringen</v>
      </c>
      <c r="J6" s="4" t="str">
        <f>IFERROR(__xludf.DUMMYFUNCTION("GOOGLETRANSLATE(B6,""en"",""ko"")"),"건너뛰다")</f>
        <v>건너뛰다</v>
      </c>
      <c r="K6" s="4" t="str">
        <f>IFERROR(__xludf.DUMMYFUNCTION("GOOGLETRANSLATE(B6,""en"",""zh"")"),"跳过")</f>
        <v>跳过</v>
      </c>
      <c r="L6" s="4" t="str">
        <f>IFERROR(__xludf.DUMMYFUNCTION("GOOGLETRANSLATE(B6,""en"",""es"")"),"Saltar")</f>
        <v>Saltar</v>
      </c>
      <c r="M6" s="4" t="str">
        <f>IFERROR(__xludf.DUMMYFUNCTION("GOOGLETRANSLATE(B6,""en"",""iw"")"),"לְדַלֵג")</f>
        <v>לְדַלֵג</v>
      </c>
      <c r="N6" s="4" t="str">
        <f>IFERROR(__xludf.DUMMYFUNCTION("GOOGLETRANSLATE(B6,""en"",""bn"")"),"এড়িয়ে যান")</f>
        <v>এড়িয়ে যান</v>
      </c>
      <c r="O6" s="4" t="str">
        <f>IFERROR(__xludf.DUMMYFUNCTION("GOOGLETRANSLATE(B6,""en"",""pt"")"),"Pular")</f>
        <v>Pular</v>
      </c>
    </row>
    <row r="7">
      <c r="A7" s="7" t="s">
        <v>25</v>
      </c>
      <c r="B7" s="3" t="s">
        <v>26</v>
      </c>
      <c r="C7" s="4" t="str">
        <f>IFERROR(__xludf.DUMMYFUNCTION("GOOGLETRANSLATE(B7,""en"",""hi"")"),"अगला")</f>
        <v>अगला</v>
      </c>
      <c r="D7" s="6" t="s">
        <v>27</v>
      </c>
      <c r="E7" s="4" t="str">
        <f>IFERROR(__xludf.DUMMYFUNCTION("GOOGLETRANSLATE(B7,""en"",""fr"")"),"Suivant")</f>
        <v>Suivant</v>
      </c>
      <c r="F7" s="4" t="str">
        <f>IFERROR(__xludf.DUMMYFUNCTION("GOOGLETRANSLATE(B7,""en"",""tr"")"),"Sonraki")</f>
        <v>Sonraki</v>
      </c>
      <c r="G7" s="4" t="str">
        <f>IFERROR(__xludf.DUMMYFUNCTION("GOOGLETRANSLATE(B7,""en"",""ru"")"),"Следующий")</f>
        <v>Следующий</v>
      </c>
      <c r="H7" s="4" t="str">
        <f>IFERROR(__xludf.DUMMYFUNCTION("GOOGLETRANSLATE(B7,""en"",""it"")"),"Prossimo")</f>
        <v>Prossimo</v>
      </c>
      <c r="I7" s="4" t="str">
        <f>IFERROR(__xludf.DUMMYFUNCTION("GOOGLETRANSLATE(B7,""en"",""de"")"),"Nächste")</f>
        <v>Nächste</v>
      </c>
      <c r="J7" s="4" t="str">
        <f>IFERROR(__xludf.DUMMYFUNCTION("GOOGLETRANSLATE(B7,""en"",""ko"")"),"다음")</f>
        <v>다음</v>
      </c>
      <c r="K7" s="4" t="str">
        <f>IFERROR(__xludf.DUMMYFUNCTION("GOOGLETRANSLATE(B7,""en"",""zh"")"),"下一个")</f>
        <v>下一个</v>
      </c>
      <c r="L7" s="4" t="str">
        <f>IFERROR(__xludf.DUMMYFUNCTION("GOOGLETRANSLATE(B7,""en"",""es"")"),"Próximo")</f>
        <v>Próximo</v>
      </c>
      <c r="M7" s="4" t="str">
        <f>IFERROR(__xludf.DUMMYFUNCTION("GOOGLETRANSLATE(B7,""en"",""iw"")"),"הַבָּא")</f>
        <v>הַבָּא</v>
      </c>
      <c r="N7" s="4" t="str">
        <f>IFERROR(__xludf.DUMMYFUNCTION("GOOGLETRANSLATE(B7,""en"",""bn"")"),"পরবর্তী")</f>
        <v>পরবর্তী</v>
      </c>
      <c r="O7" s="4" t="str">
        <f>IFERROR(__xludf.DUMMYFUNCTION("GOOGLETRANSLATE(B7,""en"",""pt"")"),"Próximo")</f>
        <v>Próximo</v>
      </c>
    </row>
    <row r="8">
      <c r="A8" s="7" t="s">
        <v>28</v>
      </c>
      <c r="B8" s="3" t="s">
        <v>29</v>
      </c>
      <c r="C8" s="4" t="str">
        <f>IFERROR(__xludf.DUMMYFUNCTION("GOOGLETRANSLATE(B8,""en"",""hi"")"),"आपकी सवारी, मांग पर")</f>
        <v>आपकी सवारी, मांग पर</v>
      </c>
      <c r="D8" s="4" t="str">
        <f>IFERROR(__xludf.DUMMYFUNCTION("GOOGLETRANSLATE(B8,""en"",""ar"")"),"رحلتك عند الطلب")</f>
        <v>رحلتك عند الطلب</v>
      </c>
      <c r="E8" s="4" t="str">
        <f>IFERROR(__xludf.DUMMYFUNCTION("GOOGLETRANSLATE(B8,""en"",""fr"")"),"Votre trajet, à la demande")</f>
        <v>Votre trajet, à la demande</v>
      </c>
      <c r="F8" s="4" t="str">
        <f>IFERROR(__xludf.DUMMYFUNCTION("GOOGLETRANSLATE(B8,""en"",""tr"")"),"Yolculuğunuz, İsteğe Bağlı")</f>
        <v>Yolculuğunuz, İsteğe Bağlı</v>
      </c>
      <c r="G8" s="4" t="str">
        <f>IFERROR(__xludf.DUMMYFUNCTION("GOOGLETRANSLATE(B8,""en"",""ru"")"),"Ваша поездка по требованию")</f>
        <v>Ваша поездка по требованию</v>
      </c>
      <c r="H8" s="4" t="str">
        <f>IFERROR(__xludf.DUMMYFUNCTION("GOOGLETRANSLATE(B8,""en"",""it"")"),"Il tuo viaggio, su richiesta")</f>
        <v>Il tuo viaggio, su richiesta</v>
      </c>
      <c r="I8" s="4" t="str">
        <f>IFERROR(__xludf.DUMMYFUNCTION("GOOGLETRANSLATE(B8,""en"",""de"")"),"Ihre Fahrt auf Abruf")</f>
        <v>Ihre Fahrt auf Abruf</v>
      </c>
      <c r="J8" s="4" t="str">
        <f>IFERROR(__xludf.DUMMYFUNCTION("GOOGLETRANSLATE(B8,""en"",""ko"")"),"당신의 라이드, 온디맨드")</f>
        <v>당신의 라이드, 온디맨드</v>
      </c>
      <c r="K8" s="4" t="str">
        <f>IFERROR(__xludf.DUMMYFUNCTION("GOOGLETRANSLATE(B8,""en"",""zh"")"),"按需出行")</f>
        <v>按需出行</v>
      </c>
      <c r="L8" s="4" t="str">
        <f>IFERROR(__xludf.DUMMYFUNCTION("GOOGLETRANSLATE(B8,""en"",""es"")"),"Tu viaje, a pedido")</f>
        <v>Tu viaje, a pedido</v>
      </c>
      <c r="M8" s="4" t="str">
        <f>IFERROR(__xludf.DUMMYFUNCTION("GOOGLETRANSLATE(B8,""en"",""iw"")"),"הנסיעה שלך, לפי דרישה")</f>
        <v>הנסיעה שלך, לפי דרישה</v>
      </c>
      <c r="N8" s="4" t="str">
        <f>IFERROR(__xludf.DUMMYFUNCTION("GOOGLETRANSLATE(B8,""en"",""bn"")"),"আপনার রাইড, চাহিদা অনুযায়ী")</f>
        <v>আপনার রাইড, চাহিদা অনুযায়ী</v>
      </c>
      <c r="O8" s="4" t="str">
        <f>IFERROR(__xludf.DUMMYFUNCTION("GOOGLETRANSLATE(B8,""en"",""pt"")"),"Sua viagem, sob demanda")</f>
        <v>Sua viagem, sob demanda</v>
      </c>
    </row>
    <row r="9">
      <c r="A9" s="7" t="s">
        <v>30</v>
      </c>
      <c r="B9" s="3" t="s">
        <v>31</v>
      </c>
      <c r="C9" s="4" t="str">
        <f>IFERROR(__xludf.DUMMYFUNCTION("GOOGLETRANSLATE(B9,""en"",""hi"")"),"लॉग इन करें")</f>
        <v>लॉग इन करें</v>
      </c>
      <c r="D9" s="6" t="s">
        <v>32</v>
      </c>
      <c r="E9" s="4" t="str">
        <f>IFERROR(__xludf.DUMMYFUNCTION("GOOGLETRANSLATE(B9,""en"",""fr"")"),"Se connecter")</f>
        <v>Se connecter</v>
      </c>
      <c r="F9" s="4" t="str">
        <f>IFERROR(__xludf.DUMMYFUNCTION("GOOGLETRANSLATE(B9,""en"",""tr"")"),"Giriş yapmak")</f>
        <v>Giriş yapmak</v>
      </c>
      <c r="G9" s="4" t="str">
        <f>IFERROR(__xludf.DUMMYFUNCTION("GOOGLETRANSLATE(B9,""en"",""ru"")"),"Авторизоваться")</f>
        <v>Авторизоваться</v>
      </c>
      <c r="H9" s="4" t="str">
        <f>IFERROR(__xludf.DUMMYFUNCTION("GOOGLETRANSLATE(B9,""en"",""it"")"),"Login")</f>
        <v>Login</v>
      </c>
      <c r="I9" s="4" t="str">
        <f>IFERROR(__xludf.DUMMYFUNCTION("GOOGLETRANSLATE(B9,""en"",""de"")"),"Login")</f>
        <v>Login</v>
      </c>
      <c r="J9" s="4" t="str">
        <f>IFERROR(__xludf.DUMMYFUNCTION("GOOGLETRANSLATE(B9,""en"",""ko"")"),"로그인")</f>
        <v>로그인</v>
      </c>
      <c r="K9" s="4" t="str">
        <f>IFERROR(__xludf.DUMMYFUNCTION("GOOGLETRANSLATE(B9,""en"",""zh"")"),"登录")</f>
        <v>登录</v>
      </c>
      <c r="L9" s="4" t="str">
        <f>IFERROR(__xludf.DUMMYFUNCTION("GOOGLETRANSLATE(B9,""en"",""es"")"),"Acceso")</f>
        <v>Acceso</v>
      </c>
      <c r="M9" s="4" t="str">
        <f>IFERROR(__xludf.DUMMYFUNCTION("GOOGLETRANSLATE(B9,""en"",""iw"")"),"כְּנִיסָה לַמַעֲרֶכֶת")</f>
        <v>כְּנִיסָה לַמַעֲרֶכֶת</v>
      </c>
      <c r="N9" s="4" t="str">
        <f>IFERROR(__xludf.DUMMYFUNCTION("GOOGLETRANSLATE(B9,""en"",""bn"")"),"লগইন করুন")</f>
        <v>লগইন করুন</v>
      </c>
      <c r="O9" s="4" t="str">
        <f>IFERROR(__xludf.DUMMYFUNCTION("GOOGLETRANSLATE(B9,""en"",""pt"")"),"Conecte-se")</f>
        <v>Conecte-se</v>
      </c>
    </row>
    <row r="10">
      <c r="A10" s="7" t="s">
        <v>33</v>
      </c>
      <c r="B10" s="3" t="s">
        <v>34</v>
      </c>
      <c r="C10" s="4" t="str">
        <f>IFERROR(__xludf.DUMMYFUNCTION("GOOGLETRANSLATE(B10,""en"",""hi"")"),"मोबाइल नंबर दर्ज करें")</f>
        <v>मोबाइल नंबर दर्ज करें</v>
      </c>
      <c r="D10" s="6" t="s">
        <v>35</v>
      </c>
      <c r="E10" s="4" t="str">
        <f>IFERROR(__xludf.DUMMYFUNCTION("GOOGLETRANSLATE(B10,""en"",""fr"")"),"Entrez le numéro de téléphone portable")</f>
        <v>Entrez le numéro de téléphone portable</v>
      </c>
      <c r="F10" s="4" t="str">
        <f>IFERROR(__xludf.DUMMYFUNCTION("GOOGLETRANSLATE(B10,""en"",""tr"")"),"Cep Telefonu Numaranızı Girin")</f>
        <v>Cep Telefonu Numaranızı Girin</v>
      </c>
      <c r="G10" s="4" t="str">
        <f>IFERROR(__xludf.DUMMYFUNCTION("GOOGLETRANSLATE(B10,""en"",""ru"")"),"Введите номер мобильного телефона")</f>
        <v>Введите номер мобильного телефона</v>
      </c>
      <c r="H10" s="4" t="str">
        <f>IFERROR(__xludf.DUMMYFUNCTION("GOOGLETRANSLATE(B10,""en"",""it"")"),"Inserisci il numero di cellulare")</f>
        <v>Inserisci il numero di cellulare</v>
      </c>
      <c r="I10" s="4" t="str">
        <f>IFERROR(__xludf.DUMMYFUNCTION("GOOGLETRANSLATE(B10,""en"",""de"")"),"Handynummer eingeben")</f>
        <v>Handynummer eingeben</v>
      </c>
      <c r="J10" s="4" t="str">
        <f>IFERROR(__xludf.DUMMYFUNCTION("GOOGLETRANSLATE(B10,""en"",""ko"")"),"휴대폰 번호를 입력하세요")</f>
        <v>휴대폰 번호를 입력하세요</v>
      </c>
      <c r="K10" s="4" t="str">
        <f>IFERROR(__xludf.DUMMYFUNCTION("GOOGLETRANSLATE(B10,""en"",""zh"")"),"输入手机号码")</f>
        <v>输入手机号码</v>
      </c>
      <c r="L10" s="4" t="str">
        <f>IFERROR(__xludf.DUMMYFUNCTION("GOOGLETRANSLATE(B10,""en"",""es"")"),"Introduzca el número de teléfono móvil")</f>
        <v>Introduzca el número de teléfono móvil</v>
      </c>
      <c r="M10" s="4" t="str">
        <f>IFERROR(__xludf.DUMMYFUNCTION("GOOGLETRANSLATE(B10,""en"",""iw"")"),"הזן מספר נייד")</f>
        <v>הזן מספר נייד</v>
      </c>
      <c r="N10" s="4" t="str">
        <f>IFERROR(__xludf.DUMMYFUNCTION("GOOGLETRANSLATE(B10,""en"",""bn"")"),"মোবাইল নম্বর লিখুন")</f>
        <v>মোবাইল নম্বর লিখুন</v>
      </c>
      <c r="O10" s="4" t="str">
        <f>IFERROR(__xludf.DUMMYFUNCTION("GOOGLETRANSLATE(B10,""en"",""pt"")"),"Digite o número do celular")</f>
        <v>Digite o número do celular</v>
      </c>
    </row>
    <row r="11">
      <c r="A11" s="7" t="s">
        <v>36</v>
      </c>
      <c r="B11" s="3" t="s">
        <v>37</v>
      </c>
      <c r="C11" s="4" t="str">
        <f>IFERROR(__xludf.DUMMYFUNCTION("GOOGLETRANSLATE(B11,""en"",""hi"")"),"आएँ शुरू करें!")</f>
        <v>आएँ शुरू करें!</v>
      </c>
      <c r="D11" s="6" t="s">
        <v>38</v>
      </c>
      <c r="E11" s="4" t="str">
        <f>IFERROR(__xludf.DUMMYFUNCTION("GOOGLETRANSLATE(B11,""en"",""fr"")"),"Commençons !")</f>
        <v>Commençons !</v>
      </c>
      <c r="F11" s="4" t="str">
        <f>IFERROR(__xludf.DUMMYFUNCTION("GOOGLETRANSLATE(B11,""en"",""tr"")"),"Hadi Başlayalım!")</f>
        <v>Hadi Başlayalım!</v>
      </c>
      <c r="G11" s="4" t="str">
        <f>IFERROR(__xludf.DUMMYFUNCTION("GOOGLETRANSLATE(B11,""en"",""ru"")"),"Давайте начнем!")</f>
        <v>Давайте начнем!</v>
      </c>
      <c r="H11" s="4" t="str">
        <f>IFERROR(__xludf.DUMMYFUNCTION("GOOGLETRANSLATE(B11,""en"",""it"")"),"Cominciamo!")</f>
        <v>Cominciamo!</v>
      </c>
      <c r="I11" s="4" t="str">
        <f>IFERROR(__xludf.DUMMYFUNCTION("GOOGLETRANSLATE(B11,""en"",""de"")"),"Lass uns anfangen!")</f>
        <v>Lass uns anfangen!</v>
      </c>
      <c r="J11" s="4" t="str">
        <f>IFERROR(__xludf.DUMMYFUNCTION("GOOGLETRANSLATE(B11,""en"",""ko"")"),"시작해 볼까요!")</f>
        <v>시작해 볼까요!</v>
      </c>
      <c r="K11" s="4" t="str">
        <f>IFERROR(__xludf.DUMMYFUNCTION("GOOGLETRANSLATE(B11,""en"",""zh"")"),"让我们开始吧！")</f>
        <v>让我们开始吧！</v>
      </c>
      <c r="L11" s="4" t="str">
        <f>IFERROR(__xludf.DUMMYFUNCTION("GOOGLETRANSLATE(B11,""en"",""es"")"),"¡Comencemos!")</f>
        <v>¡Comencemos!</v>
      </c>
      <c r="M11" s="4" t="str">
        <f>IFERROR(__xludf.DUMMYFUNCTION("GOOGLETRANSLATE(B11,""en"",""iw"")"),"בואו נתחיל!")</f>
        <v>בואו נתחיל!</v>
      </c>
      <c r="N11" s="4" t="str">
        <f>IFERROR(__xludf.DUMMYFUNCTION("GOOGLETRANSLATE(B11,""en"",""bn"")"),"চলুন শুরু করা যাক!")</f>
        <v>চলুন শুরু করা যাক!</v>
      </c>
      <c r="O11" s="4" t="str">
        <f>IFERROR(__xludf.DUMMYFUNCTION("GOOGLETRANSLATE(B11,""en"",""pt"")"),"Vamos começar!")</f>
        <v>Vamos começar!</v>
      </c>
    </row>
    <row r="12">
      <c r="A12" s="7" t="s">
        <v>39</v>
      </c>
      <c r="B12" s="3" t="s">
        <v>40</v>
      </c>
      <c r="C12" s="4" t="str">
        <f>IFERROR(__xludf.DUMMYFUNCTION("GOOGLETRANSLATE(B12,""en"",""hi"")"),"आगे बढ़ने के लिए फॉर्म भरें.")</f>
        <v>आगे बढ़ने के लिए फॉर्म भरें.</v>
      </c>
      <c r="D12" s="6" t="s">
        <v>41</v>
      </c>
      <c r="E12" s="4" t="str">
        <f>IFERROR(__xludf.DUMMYFUNCTION("GOOGLETRANSLATE(B12,""en"",""fr"")"),"Remplissez le formulaire pour continuer.")</f>
        <v>Remplissez le formulaire pour continuer.</v>
      </c>
      <c r="F12" s="4" t="str">
        <f>IFERROR(__xludf.DUMMYFUNCTION("GOOGLETRANSLATE(B12,""en"",""tr"")"),"Devam etmek için formu doldurun.")</f>
        <v>Devam etmek için formu doldurun.</v>
      </c>
      <c r="G12" s="4" t="str">
        <f>IFERROR(__xludf.DUMMYFUNCTION("GOOGLETRANSLATE(B12,""en"",""ru"")"),"Заполните форму, чтобы продолжить.")</f>
        <v>Заполните форму, чтобы продолжить.</v>
      </c>
      <c r="H12" s="4" t="str">
        <f>IFERROR(__xludf.DUMMYFUNCTION("GOOGLETRANSLATE(B12,""en"",""it"")"),"Compila il modulo per continuare.")</f>
        <v>Compila il modulo per continuare.</v>
      </c>
      <c r="I12" s="4" t="str">
        <f>IFERROR(__xludf.DUMMYFUNCTION("GOOGLETRANSLATE(B12,""en"",""de"")"),"Füllen Sie das Formular aus, um fortzufahren.")</f>
        <v>Füllen Sie das Formular aus, um fortzufahren.</v>
      </c>
      <c r="J12" s="4" t="str">
        <f>IFERROR(__xludf.DUMMYFUNCTION("GOOGLETRANSLATE(B12,""en"",""ko"")"),"계속하려면 양식을 작성하세요.")</f>
        <v>계속하려면 양식을 작성하세요.</v>
      </c>
      <c r="K12" s="4" t="str">
        <f>IFERROR(__xludf.DUMMYFUNCTION("GOOGLETRANSLATE(B12,""en"",""zh"")"),"填写表格并继续。")</f>
        <v>填写表格并继续。</v>
      </c>
      <c r="L12" s="4" t="str">
        <f>IFERROR(__xludf.DUMMYFUNCTION("GOOGLETRANSLATE(B12,""en"",""es"")"),"Llene el formulario para continuar.")</f>
        <v>Llene el formulario para continuar.</v>
      </c>
      <c r="M12" s="4" t="str">
        <f>IFERROR(__xludf.DUMMYFUNCTION("GOOGLETRANSLATE(B12,""en"",""iw"")"),"מלא את הטופס כדי להמשיך.")</f>
        <v>מלא את הטופס כדי להמשיך.</v>
      </c>
      <c r="N12" s="4" t="str">
        <f>IFERROR(__xludf.DUMMYFUNCTION("GOOGLETRANSLATE(B12,""en"",""bn"")"),"চালিয়ে যেতে ফর্মটি পূরণ করুন।")</f>
        <v>চালিয়ে যেতে ফর্মটি পূরণ করুন।</v>
      </c>
      <c r="O12" s="4" t="str">
        <f>IFERROR(__xludf.DUMMYFUNCTION("GOOGLETRANSLATE(B12,""en"",""pt"")"),"Preencha o formulário para continuar.")</f>
        <v>Preencha o formulário para continuar.</v>
      </c>
    </row>
    <row r="13">
      <c r="A13" s="7" t="s">
        <v>42</v>
      </c>
      <c r="B13" s="3" t="s">
        <v>43</v>
      </c>
      <c r="C13" s="4" t="str">
        <f>IFERROR(__xludf.DUMMYFUNCTION("GOOGLETRANSLATE(B13,""en"",""hi"")"),"सोशल मीडिया पर साइन अप करें या जारी रखने के लिए फॉर्म भरें।")</f>
        <v>सोशल मीडिया पर साइन अप करें या जारी रखने के लिए फॉर्म भरें।</v>
      </c>
      <c r="D13" s="6" t="s">
        <v>44</v>
      </c>
      <c r="E13" s="4" t="str">
        <f>IFERROR(__xludf.DUMMYFUNCTION("GOOGLETRANSLATE(B13,""en"",""fr"")"),"Inscrivez-vous sur Social ou remplissez le formulaire pour continuer.")</f>
        <v>Inscrivez-vous sur Social ou remplissez le formulaire pour continuer.</v>
      </c>
      <c r="F13" s="4" t="str">
        <f>IFERROR(__xludf.DUMMYFUNCTION("GOOGLETRANSLATE(B13,""en"",""tr"")"),"Sosyal medyaya kaydolun veya devam etmek için formu doldurun.")</f>
        <v>Sosyal medyaya kaydolun veya devam etmek için formu doldurun.</v>
      </c>
      <c r="G13" s="4" t="str">
        <f>IFERROR(__xludf.DUMMYFUNCTION("GOOGLETRANSLATE(B13,""en"",""ru"")"),"Зарегистрируйтесь в Social или заполните форму, чтобы продолжить.")</f>
        <v>Зарегистрируйтесь в Social или заполните форму, чтобы продолжить.</v>
      </c>
      <c r="H13" s="4" t="str">
        <f>IFERROR(__xludf.DUMMYFUNCTION("GOOGLETRANSLATE(B13,""en"",""it"")"),"Registrati sui Social o compila il modulo per continuare.")</f>
        <v>Registrati sui Social o compila il modulo per continuare.</v>
      </c>
      <c r="I13" s="4" t="str">
        <f>IFERROR(__xludf.DUMMYFUNCTION("GOOGLETRANSLATE(B13,""en"",""de"")"),"Melden Sie sich bei Social an oder füllen Sie das Formular aus, um fortzufahren.")</f>
        <v>Melden Sie sich bei Social an oder füllen Sie das Formular aus, um fortzufahren.</v>
      </c>
      <c r="J13" s="4" t="str">
        <f>IFERROR(__xludf.DUMMYFUNCTION("GOOGLETRANSLATE(B13,""en"",""ko"")"),"소셜에 가입하거나 양식을 작성하여 계속 진행하세요.")</f>
        <v>소셜에 가입하거나 양식을 작성하여 계속 진행하세요.</v>
      </c>
      <c r="K13" s="4" t="str">
        <f>IFERROR(__xludf.DUMMYFUNCTION("GOOGLETRANSLATE(B13,""en"",""zh"")"),"通过社交注册或填写表格以继续。")</f>
        <v>通过社交注册或填写表格以继续。</v>
      </c>
      <c r="L13" s="4" t="str">
        <f>IFERROR(__xludf.DUMMYFUNCTION("GOOGLETRANSLATE(B13,""en"",""es"")"),"Regístrate en Social o rellena el formulario para continuar.")</f>
        <v>Regístrate en Social o rellena el formulario para continuar.</v>
      </c>
      <c r="M13" s="4" t="str">
        <f>IFERROR(__xludf.DUMMYFUNCTION("GOOGLETRANSLATE(B13,""en"",""iw"")"),"הירשם ל-Social או מלא את הטופס כדי להמשיך.")</f>
        <v>הירשם ל-Social או מלא את הטופס כדי להמשיך.</v>
      </c>
      <c r="N13" s="4" t="str">
        <f>IFERROR(__xludf.DUMMYFUNCTION("GOOGLETRANSLATE(B13,""en"",""bn"")"),"চালিয়ে যেতে ফরম পূরণের সোশ্যাল দিয়ে সাইন আপ করুন।")</f>
        <v>চালিয়ে যেতে ফরম পূরণের সোশ্যাল দিয়ে সাইন আপ করুন।</v>
      </c>
      <c r="O13" s="4" t="str">
        <f>IFERROR(__xludf.DUMMYFUNCTION("GOOGLETRANSLATE(B13,""en"",""pt"")"),"Cadastre-se no Social ou preencha o formulário para continuar.")</f>
        <v>Cadastre-se no Social ou preencha o formulário para continuar.</v>
      </c>
    </row>
    <row r="14">
      <c r="A14" s="7" t="s">
        <v>45</v>
      </c>
      <c r="B14" s="3" t="s">
        <v>46</v>
      </c>
      <c r="C14" s="4" t="str">
        <f>IFERROR(__xludf.DUMMYFUNCTION("GOOGLETRANSLATE(B14,""en"",""hi"")"),"ईमेल")</f>
        <v>ईमेल</v>
      </c>
      <c r="D14" s="6" t="s">
        <v>47</v>
      </c>
      <c r="E14" s="4" t="str">
        <f>IFERROR(__xludf.DUMMYFUNCTION("GOOGLETRANSLATE(B14,""en"",""fr"")"),"E-mail")</f>
        <v>E-mail</v>
      </c>
      <c r="F14" s="4" t="str">
        <f>IFERROR(__xludf.DUMMYFUNCTION("GOOGLETRANSLATE(B14,""en"",""tr"")"),"E-posta")</f>
        <v>E-posta</v>
      </c>
      <c r="G14" s="4" t="str">
        <f>IFERROR(__xludf.DUMMYFUNCTION("GOOGLETRANSLATE(B14,""en"",""ru"")"),"Электронная почта")</f>
        <v>Электронная почта</v>
      </c>
      <c r="H14" s="4" t="str">
        <f>IFERROR(__xludf.DUMMYFUNCTION("GOOGLETRANSLATE(B14,""en"",""it"")"),"E-mail")</f>
        <v>E-mail</v>
      </c>
      <c r="I14" s="4" t="str">
        <f>IFERROR(__xludf.DUMMYFUNCTION("GOOGLETRANSLATE(B14,""en"",""de"")"),"E-Mail")</f>
        <v>E-Mail</v>
      </c>
      <c r="J14" s="4" t="str">
        <f>IFERROR(__xludf.DUMMYFUNCTION("GOOGLETRANSLATE(B14,""en"",""ko"")"),"이메일")</f>
        <v>이메일</v>
      </c>
      <c r="K14" s="4" t="str">
        <f>IFERROR(__xludf.DUMMYFUNCTION("GOOGLETRANSLATE(B14,""en"",""zh"")"),"电子邮件")</f>
        <v>电子邮件</v>
      </c>
      <c r="L14" s="4" t="str">
        <f>IFERROR(__xludf.DUMMYFUNCTION("GOOGLETRANSLATE(B14,""en"",""es"")"),"Correo electrónico")</f>
        <v>Correo electrónico</v>
      </c>
      <c r="M14" s="4" t="str">
        <f>IFERROR(__xludf.DUMMYFUNCTION("GOOGLETRANSLATE(B14,""en"",""iw"")"),"אֶלֶקטרוֹנִי")</f>
        <v>אֶלֶקטרוֹנִי</v>
      </c>
      <c r="N14" s="4" t="str">
        <f>IFERROR(__xludf.DUMMYFUNCTION("GOOGLETRANSLATE(B14,""en"",""bn"")"),"ইমেইল")</f>
        <v>ইমেইল</v>
      </c>
      <c r="O14" s="4" t="str">
        <f>IFERROR(__xludf.DUMMYFUNCTION("GOOGLETRANSLATE(B14,""en"",""pt"")"),"E-mail")</f>
        <v>E-mail</v>
      </c>
    </row>
    <row r="15">
      <c r="A15" s="7" t="s">
        <v>48</v>
      </c>
      <c r="B15" s="3" t="s">
        <v>49</v>
      </c>
      <c r="C15" s="4" t="str">
        <f>IFERROR(__xludf.DUMMYFUNCTION("GOOGLETRANSLATE(B15,""en"",""hi"")"),"नाम")</f>
        <v>नाम</v>
      </c>
      <c r="D15" s="6" t="s">
        <v>50</v>
      </c>
      <c r="E15" s="4" t="str">
        <f>IFERROR(__xludf.DUMMYFUNCTION("GOOGLETRANSLATE(B15,""en"",""fr"")"),"Nom")</f>
        <v>Nom</v>
      </c>
      <c r="F15" s="4" t="str">
        <f>IFERROR(__xludf.DUMMYFUNCTION("GOOGLETRANSLATE(B15,""en"",""tr"")"),"İsim")</f>
        <v>İsim</v>
      </c>
      <c r="G15" s="4" t="str">
        <f>IFERROR(__xludf.DUMMYFUNCTION("GOOGLETRANSLATE(B15,""en"",""ru"")"),"Имя")</f>
        <v>Имя</v>
      </c>
      <c r="H15" s="4" t="str">
        <f>IFERROR(__xludf.DUMMYFUNCTION("GOOGLETRANSLATE(B15,""en"",""it"")"),"Nome")</f>
        <v>Nome</v>
      </c>
      <c r="I15" s="4" t="str">
        <f>IFERROR(__xludf.DUMMYFUNCTION("GOOGLETRANSLATE(B15,""en"",""de"")"),"Name")</f>
        <v>Name</v>
      </c>
      <c r="J15" s="4" t="str">
        <f>IFERROR(__xludf.DUMMYFUNCTION("GOOGLETRANSLATE(B15,""en"",""ko"")"),"이름")</f>
        <v>이름</v>
      </c>
      <c r="K15" s="4" t="str">
        <f>IFERROR(__xludf.DUMMYFUNCTION("GOOGLETRANSLATE(B15,""en"",""zh"")"),"姓名")</f>
        <v>姓名</v>
      </c>
      <c r="L15" s="4" t="str">
        <f>IFERROR(__xludf.DUMMYFUNCTION("GOOGLETRANSLATE(B15,""en"",""es"")"),"Nombre")</f>
        <v>Nombre</v>
      </c>
      <c r="M15" s="4" t="str">
        <f>IFERROR(__xludf.DUMMYFUNCTION("GOOGLETRANSLATE(B15,""en"",""iw"")"),"שֵׁם")</f>
        <v>שֵׁם</v>
      </c>
      <c r="N15" s="4" t="str">
        <f>IFERROR(__xludf.DUMMYFUNCTION("GOOGLETRANSLATE(B15,""en"",""bn"")"),"নাম")</f>
        <v>নাম</v>
      </c>
      <c r="O15" s="4" t="str">
        <f>IFERROR(__xludf.DUMMYFUNCTION("GOOGLETRANSLATE(B15,""en"",""pt"")"),"Nome")</f>
        <v>Nome</v>
      </c>
    </row>
    <row r="16">
      <c r="A16" s="7" t="s">
        <v>51</v>
      </c>
      <c r="B16" s="3" t="s">
        <v>52</v>
      </c>
      <c r="C16" s="4" t="str">
        <f>IFERROR(__xludf.DUMMYFUNCTION("GOOGLETRANSLATE(B16,""en"",""hi"")"),"साइन अप करके, आप इससे सहमत होते हैं")</f>
        <v>साइन अप करके, आप इससे सहमत होते हैं</v>
      </c>
      <c r="D16" s="6" t="s">
        <v>53</v>
      </c>
      <c r="E16" s="4" t="str">
        <f>IFERROR(__xludf.DUMMYFUNCTION("GOOGLETRANSLATE(B16,""en"",""fr"")"),"En vous inscrivant, vous acceptez les")</f>
        <v>En vous inscrivant, vous acceptez les</v>
      </c>
      <c r="F16" s="4" t="str">
        <f>IFERROR(__xludf.DUMMYFUNCTION("GOOGLETRANSLATE(B16,""en"",""tr"")"),"Kaydolarak, şunları kabul etmiş olursunuz:")</f>
        <v>Kaydolarak, şunları kabul etmiş olursunuz:</v>
      </c>
      <c r="G16" s="4" t="str">
        <f>IFERROR(__xludf.DUMMYFUNCTION("GOOGLETRANSLATE(B16,""en"",""ru"")"),"Регистрируясь, вы соглашаетесь с")</f>
        <v>Регистрируясь, вы соглашаетесь с</v>
      </c>
      <c r="H16" s="4" t="str">
        <f>IFERROR(__xludf.DUMMYFUNCTION("GOOGLETRANSLATE(B16,""en"",""it"")"),"Registrandoti accetti i termini e le condizioni")</f>
        <v>Registrandoti accetti i termini e le condizioni</v>
      </c>
      <c r="I16" s="4" t="str">
        <f>IFERROR(__xludf.DUMMYFUNCTION("GOOGLETRANSLATE(B16,""en"",""de"")"),"Mit der Anmeldung stimmen Sie den")</f>
        <v>Mit der Anmeldung stimmen Sie den</v>
      </c>
      <c r="J16" s="4" t="str">
        <f>IFERROR(__xludf.DUMMYFUNCTION("GOOGLETRANSLATE(B16,""en"",""ko"")"),"가입하면 다음에 동의하는 것입니다.")</f>
        <v>가입하면 다음에 동의하는 것입니다.</v>
      </c>
      <c r="K16" s="4" t="str">
        <f>IFERROR(__xludf.DUMMYFUNCTION("GOOGLETRANSLATE(B16,""en"",""zh"")"),"通过注册，您同意")</f>
        <v>通过注册，您同意</v>
      </c>
      <c r="L16" s="4" t="str">
        <f>IFERROR(__xludf.DUMMYFUNCTION("GOOGLETRANSLATE(B16,""en"",""es"")"),"Al registrarse, usted acepta los términos y condiciones")</f>
        <v>Al registrarse, usted acepta los términos y condiciones</v>
      </c>
      <c r="M16" s="4" t="str">
        <f>IFERROR(__xludf.DUMMYFUNCTION("GOOGLETRANSLATE(B16,""en"",""iw"")"),"בהרשמה, אתה מסכים ל")</f>
        <v>בהרשמה, אתה מסכים ל</v>
      </c>
      <c r="N16" s="4" t="str">
        <f>IFERROR(__xludf.DUMMYFUNCTION("GOOGLETRANSLATE(B16,""en"",""bn"")"),"সাইন আপ করে, আপনি সম্মত হন")</f>
        <v>সাইন আপ করে, আপনি সম্মত হন</v>
      </c>
      <c r="O16" s="4" t="str">
        <f>IFERROR(__xludf.DUMMYFUNCTION("GOOGLETRANSLATE(B16,""en"",""pt"")"),"Ao se inscrever, você concorda com os")</f>
        <v>Ao se inscrever, você concorda com os</v>
      </c>
    </row>
    <row r="17">
      <c r="A17" s="7" t="s">
        <v>54</v>
      </c>
      <c r="B17" s="3" t="s">
        <v>55</v>
      </c>
      <c r="C17" s="4" t="str">
        <f>IFERROR(__xludf.DUMMYFUNCTION("GOOGLETRANSLATE(B17,""en"",""hi"")"),"सेवा की शर्तें")</f>
        <v>सेवा की शर्तें</v>
      </c>
      <c r="D17" s="6" t="s">
        <v>56</v>
      </c>
      <c r="E17" s="4" t="str">
        <f>IFERROR(__xludf.DUMMYFUNCTION("GOOGLETRANSLATE(B17,""en"",""fr"")"),"Conditions d'utilisation")</f>
        <v>Conditions d'utilisation</v>
      </c>
      <c r="F17" s="4" t="str">
        <f>IFERROR(__xludf.DUMMYFUNCTION("GOOGLETRANSLATE(B17,""en"",""tr"")"),"Hizmet Şartları")</f>
        <v>Hizmet Şartları</v>
      </c>
      <c r="G17" s="4" t="str">
        <f>IFERROR(__xludf.DUMMYFUNCTION("GOOGLETRANSLATE(B17,""en"",""ru"")"),"Условия обслуживания")</f>
        <v>Условия обслуживания</v>
      </c>
      <c r="H17" s="4" t="str">
        <f>IFERROR(__xludf.DUMMYFUNCTION("GOOGLETRANSLATE(B17,""en"",""it"")"),"Termini di servizio")</f>
        <v>Termini di servizio</v>
      </c>
      <c r="I17" s="4" t="str">
        <f>IFERROR(__xludf.DUMMYFUNCTION("GOOGLETRANSLATE(B17,""en"",""de"")"),"Servicebedingungen")</f>
        <v>Servicebedingungen</v>
      </c>
      <c r="J17" s="4" t="str">
        <f>IFERROR(__xludf.DUMMYFUNCTION("GOOGLETRANSLATE(B17,""en"",""ko"")"),"서비스 약관")</f>
        <v>서비스 약관</v>
      </c>
      <c r="K17" s="4" t="str">
        <f>IFERROR(__xludf.DUMMYFUNCTION("GOOGLETRANSLATE(B17,""en"",""zh"")"),"服务条款")</f>
        <v>服务条款</v>
      </c>
      <c r="L17" s="4" t="str">
        <f>IFERROR(__xludf.DUMMYFUNCTION("GOOGLETRANSLATE(B17,""en"",""es"")"),"Condiciones de servicio")</f>
        <v>Condiciones de servicio</v>
      </c>
      <c r="M17" s="4" t="str">
        <f>IFERROR(__xludf.DUMMYFUNCTION("GOOGLETRANSLATE(B17,""en"",""iw"")"),"תנאים והגבלות")</f>
        <v>תנאים והגבלות</v>
      </c>
      <c r="N17" s="4" t="str">
        <f>IFERROR(__xludf.DUMMYFUNCTION("GOOGLETRANSLATE(B17,""en"",""bn"")"),"পরিষেবার শর্তাবলী")</f>
        <v>পরিষেবার শর্তাবলী</v>
      </c>
      <c r="O17" s="4" t="str">
        <f>IFERROR(__xludf.DUMMYFUNCTION("GOOGLETRANSLATE(B17,""en"",""pt"")"),"Termos de Serviço")</f>
        <v>Termos de Serviço</v>
      </c>
    </row>
    <row r="18">
      <c r="A18" s="7" t="s">
        <v>57</v>
      </c>
      <c r="B18" s="3" t="s">
        <v>58</v>
      </c>
      <c r="C18" s="4" t="str">
        <f>IFERROR(__xludf.DUMMYFUNCTION("GOOGLETRANSLATE(B18,""en"",""hi"")"),"और")</f>
        <v>और</v>
      </c>
      <c r="D18" s="6" t="s">
        <v>59</v>
      </c>
      <c r="E18" s="4" t="str">
        <f>IFERROR(__xludf.DUMMYFUNCTION("GOOGLETRANSLATE(B18,""en"",""fr"")"),"et")</f>
        <v>et</v>
      </c>
      <c r="F18" s="4" t="str">
        <f>IFERROR(__xludf.DUMMYFUNCTION("GOOGLETRANSLATE(B18,""en"",""tr"")"),"Ve")</f>
        <v>Ve</v>
      </c>
      <c r="G18" s="4" t="str">
        <f>IFERROR(__xludf.DUMMYFUNCTION("GOOGLETRANSLATE(B18,""en"",""ru"")"),"и")</f>
        <v>и</v>
      </c>
      <c r="H18" s="4" t="str">
        <f>IFERROR(__xludf.DUMMYFUNCTION("GOOGLETRANSLATE(B18,""en"",""it"")"),"E")</f>
        <v>E</v>
      </c>
      <c r="I18" s="4" t="str">
        <f>IFERROR(__xludf.DUMMYFUNCTION("GOOGLETRANSLATE(B18,""en"",""de"")"),"Und")</f>
        <v>Und</v>
      </c>
      <c r="J18" s="4" t="str">
        <f>IFERROR(__xludf.DUMMYFUNCTION("GOOGLETRANSLATE(B18,""en"",""ko"")"),"그리고")</f>
        <v>그리고</v>
      </c>
      <c r="K18" s="4" t="str">
        <f>IFERROR(__xludf.DUMMYFUNCTION("GOOGLETRANSLATE(B18,""en"",""zh"")"),"和")</f>
        <v>和</v>
      </c>
      <c r="L18" s="4" t="str">
        <f>IFERROR(__xludf.DUMMYFUNCTION("GOOGLETRANSLATE(B18,""en"",""es"")"),"y")</f>
        <v>y</v>
      </c>
      <c r="M18" s="4" t="str">
        <f>IFERROR(__xludf.DUMMYFUNCTION("GOOGLETRANSLATE(B18,""en"",""iw"")"),"ו")</f>
        <v>ו</v>
      </c>
      <c r="N18" s="4" t="str">
        <f>IFERROR(__xludf.DUMMYFUNCTION("GOOGLETRANSLATE(B18,""en"",""bn"")"),"এবং")</f>
        <v>এবং</v>
      </c>
      <c r="O18" s="4" t="str">
        <f>IFERROR(__xludf.DUMMYFUNCTION("GOOGLETRANSLATE(B18,""en"",""pt"")"),"e")</f>
        <v>e</v>
      </c>
    </row>
    <row r="19">
      <c r="A19" s="7" t="s">
        <v>60</v>
      </c>
      <c r="B19" s="3" t="s">
        <v>61</v>
      </c>
      <c r="C19" s="4" t="str">
        <f>IFERROR(__xludf.DUMMYFUNCTION("GOOGLETRANSLATE(B19,""en"",""hi"")"),"गोपनीयता नीति")</f>
        <v>गोपनीयता नीति</v>
      </c>
      <c r="D19" s="6" t="s">
        <v>62</v>
      </c>
      <c r="E19" s="4" t="str">
        <f>IFERROR(__xludf.DUMMYFUNCTION("GOOGLETRANSLATE(B19,""en"",""fr"")"),"politique de confidentialité")</f>
        <v>politique de confidentialité</v>
      </c>
      <c r="F19" s="4" t="str">
        <f>IFERROR(__xludf.DUMMYFUNCTION("GOOGLETRANSLATE(B19,""en"",""tr"")"),"Gizlilik Politikası")</f>
        <v>Gizlilik Politikası</v>
      </c>
      <c r="G19" s="4" t="str">
        <f>IFERROR(__xludf.DUMMYFUNCTION("GOOGLETRANSLATE(B19,""en"",""ru"")"),"политика конфиденциальности")</f>
        <v>политика конфиденциальности</v>
      </c>
      <c r="H19" s="4" t="str">
        <f>IFERROR(__xludf.DUMMYFUNCTION("GOOGLETRANSLATE(B19,""en"",""it"")"),"politica sulla riservatezza")</f>
        <v>politica sulla riservatezza</v>
      </c>
      <c r="I19" s="4" t="str">
        <f>IFERROR(__xludf.DUMMYFUNCTION("GOOGLETRANSLATE(B19,""en"",""de"")"),"Datenschutzrichtlinie")</f>
        <v>Datenschutzrichtlinie</v>
      </c>
      <c r="J19" s="4" t="str">
        <f>IFERROR(__xludf.DUMMYFUNCTION("GOOGLETRANSLATE(B19,""en"",""ko"")"),"개인정보 보호정책")</f>
        <v>개인정보 보호정책</v>
      </c>
      <c r="K19" s="4" t="str">
        <f>IFERROR(__xludf.DUMMYFUNCTION("GOOGLETRANSLATE(B19,""en"",""zh"")"),"隐私政策")</f>
        <v>隐私政策</v>
      </c>
      <c r="L19" s="4" t="str">
        <f>IFERROR(__xludf.DUMMYFUNCTION("GOOGLETRANSLATE(B19,""en"",""es"")"),"política de privacidad")</f>
        <v>política de privacidad</v>
      </c>
      <c r="M19" s="4" t="str">
        <f>IFERROR(__xludf.DUMMYFUNCTION("GOOGLETRANSLATE(B19,""en"",""iw"")"),"מדיניות פרטיות")</f>
        <v>מדיניות פרטיות</v>
      </c>
      <c r="N19" s="4" t="str">
        <f>IFERROR(__xludf.DUMMYFUNCTION("GOOGLETRANSLATE(B19,""en"",""bn"")"),"গোপনীয়তা নীতি")</f>
        <v>গোপনীয়তা নীতি</v>
      </c>
      <c r="O19" s="4" t="str">
        <f>IFERROR(__xludf.DUMMYFUNCTION("GOOGLETRANSLATE(B19,""en"",""pt"")"),"política de Privacidade")</f>
        <v>política de Privacidade</v>
      </c>
    </row>
    <row r="20">
      <c r="A20" s="7" t="s">
        <v>63</v>
      </c>
      <c r="B20" s="3" t="s">
        <v>64</v>
      </c>
      <c r="C20" s="4" t="str">
        <f>IFERROR(__xludf.DUMMYFUNCTION("GOOGLETRANSLATE(B20,""en"",""hi"")"),"प्रतीक्षा और मोलभाव की परेशानी के बिना टैक्सी बुक करने का सबसे तेज़ तरीका")</f>
        <v>प्रतीक्षा और मोलभाव की परेशानी के बिना टैक्सी बुक करने का सबसे तेज़ तरीका</v>
      </c>
      <c r="D20" s="6" t="s">
        <v>65</v>
      </c>
      <c r="E20" s="4" t="str">
        <f>IFERROR(__xludf.DUMMYFUNCTION("GOOGLETRANSLATE(B20,""en"",""fr"")"),"Le moyen le plus rapide de réserver un taxi sans les tracas de l'attente et du marchandage du prix")</f>
        <v>Le moyen le plus rapide de réserver un taxi sans les tracas de l'attente et du marchandage du prix</v>
      </c>
      <c r="F20" s="4" t="str">
        <f>IFERROR(__xludf.DUMMYFUNCTION("GOOGLETRANSLATE(B20,""en"",""tr"")"),"Bekleme ve fiyat pazarlığı derdi olmadan taksi rezervasyonu yapmanın en hızlı yolu")</f>
        <v>Bekleme ve fiyat pazarlığı derdi olmadan taksi rezervasyonu yapmanın en hızlı yolu</v>
      </c>
      <c r="G20" s="4" t="str">
        <f>IFERROR(__xludf.DUMMYFUNCTION("GOOGLETRANSLATE(B20,""en"",""ru"")"),"Самый быстрый способ заказать такси без хлопот ожидания и торга")</f>
        <v>Самый быстрый способ заказать такси без хлопот ожидания и торга</v>
      </c>
      <c r="H20" s="4" t="str">
        <f>IFERROR(__xludf.DUMMYFUNCTION("GOOGLETRANSLATE(B20,""en"",""it"")"),"Il modo più veloce per prenotare un taxi senza il fastidio di aspettare e contrattare il prezzo")</f>
        <v>Il modo più veloce per prenotare un taxi senza il fastidio di aspettare e contrattare il prezzo</v>
      </c>
      <c r="I20" s="4" t="str">
        <f>IFERROR(__xludf.DUMMYFUNCTION("GOOGLETRANSLATE(B20,""en"",""de"")"),"Der schnellste Weg, ein Taxi zu buchen, ohne lästiges Warten und Preisfeilschen")</f>
        <v>Der schnellste Weg, ein Taxi zu buchen, ohne lästiges Warten und Preisfeilschen</v>
      </c>
      <c r="J20" s="4" t="str">
        <f>IFERROR(__xludf.DUMMYFUNCTION("GOOGLETRANSLATE(B20,""en"",""ko"")"),"대기와 가격 흥정의 번거로움 없이 택시를 예약하는 가장 빠른 방법")</f>
        <v>대기와 가격 흥정의 번거로움 없이 택시를 예약하는 가장 빠른 방법</v>
      </c>
      <c r="K20" s="4" t="str">
        <f>IFERROR(__xludf.DUMMYFUNCTION("GOOGLETRANSLATE(B20,""en"",""zh"")"),"预订出租车的最快方式，无需等待和讨价还价")</f>
        <v>预订出租车的最快方式，无需等待和讨价还价</v>
      </c>
      <c r="L20" s="4" t="str">
        <f>IFERROR(__xludf.DUMMYFUNCTION("GOOGLETRANSLATE(B20,""en"",""es"")"),"La forma más rápida de reservar un taxi sin la molestia de esperar y regatear el precio.")</f>
        <v>La forma más rápida de reservar un taxi sin la molestia de esperar y regatear el precio.</v>
      </c>
      <c r="M20" s="4" t="str">
        <f>IFERROR(__xludf.DUMMYFUNCTION("GOOGLETRANSLATE(B20,""en"",""iw"")"),"הדרך המהירה ביותר להזמין מונית ללא הטרחה של המתנה והתמקחות על המחיר")</f>
        <v>הדרך המהירה ביותר להזמין מונית ללא הטרחה של המתנה והתמקחות על המחיר</v>
      </c>
      <c r="N20" s="4" t="str">
        <f>IFERROR(__xludf.DUMMYFUNCTION("GOOGLETRANSLATE(B20,""en"",""bn"")"),"অপেক্ষার ঝামেলা ছাড়াই ট্যাক্সি বুক করার দ্রুততম উপায় এবং দামের হট্টগোল")</f>
        <v>অপেক্ষার ঝামেলা ছাড়াই ট্যাক্সি বুক করার দ্রুততম উপায় এবং দামের হট্টগোল</v>
      </c>
      <c r="O20" s="4" t="str">
        <f>IFERROR(__xludf.DUMMYFUNCTION("GOOGLETRANSLATE(B20,""en"",""pt"")"),"A maneira mais rápida de reservar um táxi sem o incômodo de esperar e pechinchar o preço")</f>
        <v>A maneira mais rápida de reservar um táxi sem o incômodo de esperar e pechinchar o preço</v>
      </c>
    </row>
    <row r="21">
      <c r="A21" s="7" t="s">
        <v>66</v>
      </c>
      <c r="B21" s="3" t="s">
        <v>67</v>
      </c>
      <c r="C21" s="4" t="str">
        <f>IFERROR(__xludf.DUMMYFUNCTION("GOOGLETRANSLATE(B21,""en"",""hi"")"),"फ़ोन सत्यापन")</f>
        <v>फ़ोन सत्यापन</v>
      </c>
      <c r="D21" s="6" t="s">
        <v>68</v>
      </c>
      <c r="E21" s="4" t="str">
        <f>IFERROR(__xludf.DUMMYFUNCTION("GOOGLETRANSLATE(B21,""en"",""fr"")"),"Vérification du téléphone")</f>
        <v>Vérification du téléphone</v>
      </c>
      <c r="F21" s="4" t="str">
        <f>IFERROR(__xludf.DUMMYFUNCTION("GOOGLETRANSLATE(B21,""en"",""tr"")"),"Telefon Doğrulaması")</f>
        <v>Telefon Doğrulaması</v>
      </c>
      <c r="G21" s="4" t="str">
        <f>IFERROR(__xludf.DUMMYFUNCTION("GOOGLETRANSLATE(B21,""en"",""ru"")"),"Проверка телефона")</f>
        <v>Проверка телефона</v>
      </c>
      <c r="H21" s="4" t="str">
        <f>IFERROR(__xludf.DUMMYFUNCTION("GOOGLETRANSLATE(B21,""en"",""it"")"),"Verifica telefonica")</f>
        <v>Verifica telefonica</v>
      </c>
      <c r="I21" s="4" t="str">
        <f>IFERROR(__xludf.DUMMYFUNCTION("GOOGLETRANSLATE(B21,""en"",""de"")"),"Telefonverifizierung")</f>
        <v>Telefonverifizierung</v>
      </c>
      <c r="J21" s="4" t="str">
        <f>IFERROR(__xludf.DUMMYFUNCTION("GOOGLETRANSLATE(B21,""en"",""ko"")"),"전화 확인")</f>
        <v>전화 확인</v>
      </c>
      <c r="K21" s="4" t="str">
        <f>IFERROR(__xludf.DUMMYFUNCTION("GOOGLETRANSLATE(B21,""en"",""zh"")"),"电话验证")</f>
        <v>电话验证</v>
      </c>
      <c r="L21" s="4" t="str">
        <f>IFERROR(__xludf.DUMMYFUNCTION("GOOGLETRANSLATE(B21,""en"",""es"")"),"Verificación telefónica")</f>
        <v>Verificación telefónica</v>
      </c>
      <c r="M21" s="4" t="str">
        <f>IFERROR(__xludf.DUMMYFUNCTION("GOOGLETRANSLATE(B21,""en"",""iw"")"),"אימות טלפוני")</f>
        <v>אימות טלפוני</v>
      </c>
      <c r="N21" s="4" t="str">
        <f>IFERROR(__xludf.DUMMYFUNCTION("GOOGLETRANSLATE(B21,""en"",""bn"")"),"ফোন যাচাইকরণ")</f>
        <v>ফোন যাচাইকরণ</v>
      </c>
      <c r="O21" s="4" t="str">
        <f>IFERROR(__xludf.DUMMYFUNCTION("GOOGLETRANSLATE(B21,""en"",""pt"")"),"Verificação por telefone")</f>
        <v>Verificação por telefone</v>
      </c>
    </row>
    <row r="22">
      <c r="A22" s="7" t="s">
        <v>69</v>
      </c>
      <c r="B22" s="3" t="s">
        <v>70</v>
      </c>
      <c r="C22" s="4" t="str">
        <f>IFERROR(__xludf.DUMMYFUNCTION("GOOGLETRANSLATE(B22,""en"",""hi"")"),"कृपया आपको भेजा गया 6 अंकों का कोड दर्ज करें")</f>
        <v>कृपया आपको भेजा गया 6 अंकों का कोड दर्ज करें</v>
      </c>
      <c r="D22" s="6" t="s">
        <v>71</v>
      </c>
      <c r="E22" s="4" t="str">
        <f>IFERROR(__xludf.DUMMYFUNCTION("GOOGLETRANSLATE(B22,""en"",""fr"")"),"Veuillez saisir le code à 6 chiffres qui vous a été envoyé à")</f>
        <v>Veuillez saisir le code à 6 chiffres qui vous a été envoyé à</v>
      </c>
      <c r="F22" s="4" t="str">
        <f>IFERROR(__xludf.DUMMYFUNCTION("GOOGLETRANSLATE(B22,""en"",""tr"")"),"Lütfen size gönderilen 6 haneli kodu giriniz")</f>
        <v>Lütfen size gönderilen 6 haneli kodu giriniz</v>
      </c>
      <c r="G22" s="4" t="str">
        <f>IFERROR(__xludf.DUMMYFUNCTION("GOOGLETRANSLATE(B22,""en"",""ru"")"),"Пожалуйста, введите 6-значный код, отправленный вам на")</f>
        <v>Пожалуйста, введите 6-значный код, отправленный вам на</v>
      </c>
      <c r="H22" s="4" t="str">
        <f>IFERROR(__xludf.DUMMYFUNCTION("GOOGLETRANSLATE(B22,""en"",""it"")"),"Inserisci il codice di 6 cifre che ti è stato inviato a")</f>
        <v>Inserisci il codice di 6 cifre che ti è stato inviato a</v>
      </c>
      <c r="I22" s="4" t="str">
        <f>IFERROR(__xludf.DUMMYFUNCTION("GOOGLETRANSLATE(B22,""en"",""de"")"),"Bitte geben Sie den 6-stelligen Code ein, der Ihnen zugesandt wurde an")</f>
        <v>Bitte geben Sie den 6-stelligen Code ein, der Ihnen zugesandt wurde an</v>
      </c>
      <c r="J22" s="4" t="str">
        <f>IFERROR(__xludf.DUMMYFUNCTION("GOOGLETRANSLATE(B22,""en"",""ko"")"),"귀하에게 전송된 6자리 코드를 입력하세요.")</f>
        <v>귀하에게 전송된 6자리 코드를 입력하세요.</v>
      </c>
      <c r="K22" s="4" t="str">
        <f>IFERROR(__xludf.DUMMYFUNCTION("GOOGLETRANSLATE(B22,""en"",""zh"")"),"请输入发送给您的 6 位数代码")</f>
        <v>请输入发送给您的 6 位数代码</v>
      </c>
      <c r="L22" s="4" t="str">
        <f>IFERROR(__xludf.DUMMYFUNCTION("GOOGLETRANSLATE(B22,""en"",""es"")"),"Por favor ingrese el código de 6 dígitos que le enviamos a")</f>
        <v>Por favor ingrese el código de 6 dígitos que le enviamos a</v>
      </c>
      <c r="M22" s="4" t="str">
        <f>IFERROR(__xludf.DUMMYFUNCTION("GOOGLETRANSLATE(B22,""en"",""iw"")"),"נא להזין את הקוד בן 6 הספרות שנשלח אליך בכתובת")</f>
        <v>נא להזין את הקוד בן 6 הספרות שנשלח אליך בכתובת</v>
      </c>
      <c r="N22" s="4" t="str">
        <f>IFERROR(__xludf.DUMMYFUNCTION("GOOGLETRANSLATE(B22,""en"",""bn"")"),"অনুগ্রহ করে আপনাকে পাঠানো 6-সংখ্যার কোডটি লিখুন")</f>
        <v>অনুগ্রহ করে আপনাকে পাঠানো 6-সংখ্যার কোডটি লিখুন</v>
      </c>
      <c r="O22" s="4" t="str">
        <f>IFERROR(__xludf.DUMMYFUNCTION("GOOGLETRANSLATE(B22,""en"",""pt"")"),"Por favor, insira o código de 6 dígitos que lhe enviamos em")</f>
        <v>Por favor, insira o código de 6 dígitos que lhe enviamos em</v>
      </c>
    </row>
    <row r="23">
      <c r="A23" s="7" t="s">
        <v>72</v>
      </c>
      <c r="B23" s="3" t="s">
        <v>73</v>
      </c>
      <c r="C23" s="4" t="str">
        <f>IFERROR(__xludf.DUMMYFUNCTION("GOOGLETRANSLATE(B23,""en"",""hi"")"),"पुन: कोड भेजे")</f>
        <v>पुन: कोड भेजे</v>
      </c>
      <c r="D23" s="6" t="s">
        <v>74</v>
      </c>
      <c r="E23" s="4" t="str">
        <f>IFERROR(__xludf.DUMMYFUNCTION("GOOGLETRANSLATE(B23,""en"",""fr"")"),"Renvoyer le code")</f>
        <v>Renvoyer le code</v>
      </c>
      <c r="F23" s="4" t="str">
        <f>IFERROR(__xludf.DUMMYFUNCTION("GOOGLETRANSLATE(B23,""en"",""tr"")"),"Kodu Yeniden Gönder")</f>
        <v>Kodu Yeniden Gönder</v>
      </c>
      <c r="G23" s="4" t="str">
        <f>IFERROR(__xludf.DUMMYFUNCTION("GOOGLETRANSLATE(B23,""en"",""ru"")"),"Отправить код повторно")</f>
        <v>Отправить код повторно</v>
      </c>
      <c r="H23" s="4" t="str">
        <f>IFERROR(__xludf.DUMMYFUNCTION("GOOGLETRANSLATE(B23,""en"",""it"")"),"Invia nuovamente il codice")</f>
        <v>Invia nuovamente il codice</v>
      </c>
      <c r="I23" s="4" t="str">
        <f>IFERROR(__xludf.DUMMYFUNCTION("GOOGLETRANSLATE(B23,""en"",""de"")"),"Code erneut senden")</f>
        <v>Code erneut senden</v>
      </c>
      <c r="J23" s="4" t="str">
        <f>IFERROR(__xludf.DUMMYFUNCTION("GOOGLETRANSLATE(B23,""en"",""ko"")"),"코드 재전송")</f>
        <v>코드 재전송</v>
      </c>
      <c r="K23" s="4" t="str">
        <f>IFERROR(__xludf.DUMMYFUNCTION("GOOGLETRANSLATE(B23,""en"",""zh"")"),"重新发送代码")</f>
        <v>重新发送代码</v>
      </c>
      <c r="L23" s="4" t="str">
        <f>IFERROR(__xludf.DUMMYFUNCTION("GOOGLETRANSLATE(B23,""en"",""es"")"),"Reenviar código")</f>
        <v>Reenviar código</v>
      </c>
      <c r="M23" s="4" t="str">
        <f>IFERROR(__xludf.DUMMYFUNCTION("GOOGLETRANSLATE(B23,""en"",""iw"")"),"שלח שוב קוד")</f>
        <v>שלח שוב קוד</v>
      </c>
      <c r="N23" s="4" t="str">
        <f>IFERROR(__xludf.DUMMYFUNCTION("GOOGLETRANSLATE(B23,""en"",""bn"")"),"কোড আবার পাঠান")</f>
        <v>কোড আবার পাঠান</v>
      </c>
      <c r="O23" s="4" t="str">
        <f>IFERROR(__xludf.DUMMYFUNCTION("GOOGLETRANSLATE(B23,""en"",""pt"")"),"Reenviar código")</f>
        <v>Reenviar código</v>
      </c>
    </row>
    <row r="24">
      <c r="A24" s="7" t="s">
        <v>75</v>
      </c>
      <c r="B24" s="3" t="s">
        <v>76</v>
      </c>
      <c r="C24" s="4" t="str">
        <f>IFERROR(__xludf.DUMMYFUNCTION("GOOGLETRANSLATE(B24,""en"",""hi"")"),"अभी सत्यापित करें")</f>
        <v>अभी सत्यापित करें</v>
      </c>
      <c r="D24" s="6" t="s">
        <v>77</v>
      </c>
      <c r="E24" s="4" t="str">
        <f>IFERROR(__xludf.DUMMYFUNCTION("GOOGLETRANSLATE(B24,""en"",""fr"")"),"Vérifiez maintenant")</f>
        <v>Vérifiez maintenant</v>
      </c>
      <c r="F24" s="4" t="str">
        <f>IFERROR(__xludf.DUMMYFUNCTION("GOOGLETRANSLATE(B24,""en"",""tr"")"),"Şimdi Doğrula")</f>
        <v>Şimdi Doğrula</v>
      </c>
      <c r="G24" s="4" t="str">
        <f>IFERROR(__xludf.DUMMYFUNCTION("GOOGLETRANSLATE(B24,""en"",""ru"")"),"Проверить сейчас")</f>
        <v>Проверить сейчас</v>
      </c>
      <c r="H24" s="4" t="str">
        <f>IFERROR(__xludf.DUMMYFUNCTION("GOOGLETRANSLATE(B24,""en"",""it"")"),"Verifica ora")</f>
        <v>Verifica ora</v>
      </c>
      <c r="I24" s="4" t="str">
        <f>IFERROR(__xludf.DUMMYFUNCTION("GOOGLETRANSLATE(B24,""en"",""de"")"),"Jetzt verifizieren")</f>
        <v>Jetzt verifizieren</v>
      </c>
      <c r="J24" s="4" t="str">
        <f>IFERROR(__xludf.DUMMYFUNCTION("GOOGLETRANSLATE(B24,""en"",""ko"")"),"지금 확인하세요")</f>
        <v>지금 확인하세요</v>
      </c>
      <c r="K24" s="4" t="str">
        <f>IFERROR(__xludf.DUMMYFUNCTION("GOOGLETRANSLATE(B24,""en"",""zh"")"),"立即验证")</f>
        <v>立即验证</v>
      </c>
      <c r="L24" s="4" t="str">
        <f>IFERROR(__xludf.DUMMYFUNCTION("GOOGLETRANSLATE(B24,""en"",""es"")"),"Verificar ahora")</f>
        <v>Verificar ahora</v>
      </c>
      <c r="M24" s="4" t="str">
        <f>IFERROR(__xludf.DUMMYFUNCTION("GOOGLETRANSLATE(B24,""en"",""iw"")"),"אמת עכשיו")</f>
        <v>אמת עכשיו</v>
      </c>
      <c r="N24" s="4" t="str">
        <f>IFERROR(__xludf.DUMMYFUNCTION("GOOGLETRANSLATE(B24,""en"",""bn"")"),"এখনই যাচাই করুন")</f>
        <v>এখনই যাচাই করুন</v>
      </c>
      <c r="O24" s="4" t="str">
        <f>IFERROR(__xludf.DUMMYFUNCTION("GOOGLETRANSLATE(B24,""en"",""pt"")"),"Verifique agora")</f>
        <v>Verifique agora</v>
      </c>
    </row>
    <row r="25">
      <c r="A25" s="7" t="s">
        <v>78</v>
      </c>
      <c r="B25" s="3" t="s">
        <v>79</v>
      </c>
      <c r="C25" s="4" t="str">
        <f>IFERROR(__xludf.DUMMYFUNCTION("GOOGLETRANSLATE(B25,""en"",""hi"")"),"लेने की जगह")</f>
        <v>लेने की जगह</v>
      </c>
      <c r="D25" s="6" t="s">
        <v>80</v>
      </c>
      <c r="E25" s="4" t="str">
        <f>IFERROR(__xludf.DUMMYFUNCTION("GOOGLETRANSLATE(B25,""en"",""fr"")"),"Lieu de prise en charge")</f>
        <v>Lieu de prise en charge</v>
      </c>
      <c r="F25" s="4" t="str">
        <f>IFERROR(__xludf.DUMMYFUNCTION("GOOGLETRANSLATE(B25,""en"",""tr"")"),"Alım Yeri")</f>
        <v>Alım Yeri</v>
      </c>
      <c r="G25" s="4" t="str">
        <f>IFERROR(__xludf.DUMMYFUNCTION("GOOGLETRANSLATE(B25,""en"",""ru"")"),"Место получения")</f>
        <v>Место получения</v>
      </c>
      <c r="H25" s="4" t="str">
        <f>IFERROR(__xludf.DUMMYFUNCTION("GOOGLETRANSLATE(B25,""en"",""it"")"),"Luogo di ritiro")</f>
        <v>Luogo di ritiro</v>
      </c>
      <c r="I25" s="4" t="str">
        <f>IFERROR(__xludf.DUMMYFUNCTION("GOOGLETRANSLATE(B25,""en"",""de"")"),"Abholort")</f>
        <v>Abholort</v>
      </c>
      <c r="J25" s="4" t="str">
        <f>IFERROR(__xludf.DUMMYFUNCTION("GOOGLETRANSLATE(B25,""en"",""ko"")"),"픽업 장소")</f>
        <v>픽업 장소</v>
      </c>
      <c r="K25" s="4" t="str">
        <f>IFERROR(__xludf.DUMMYFUNCTION("GOOGLETRANSLATE(B25,""en"",""zh"")"),"取货地点")</f>
        <v>取货地点</v>
      </c>
      <c r="L25" s="4" t="str">
        <f>IFERROR(__xludf.DUMMYFUNCTION("GOOGLETRANSLATE(B25,""en"",""es"")"),"Lugar de recogida")</f>
        <v>Lugar de recogida</v>
      </c>
      <c r="M25" s="4" t="str">
        <f>IFERROR(__xludf.DUMMYFUNCTION("GOOGLETRANSLATE(B25,""en"",""iw"")"),"מיקום איסוף")</f>
        <v>מיקום איסוף</v>
      </c>
      <c r="N25" s="4" t="str">
        <f>IFERROR(__xludf.DUMMYFUNCTION("GOOGLETRANSLATE(B25,""en"",""bn"")"),"অবস্থান পিক আপ")</f>
        <v>অবস্থান পিক আপ</v>
      </c>
      <c r="O25" s="4" t="str">
        <f>IFERROR(__xludf.DUMMYFUNCTION("GOOGLETRANSLATE(B25,""en"",""pt"")"),"Local de retirada")</f>
        <v>Local de retirada</v>
      </c>
    </row>
    <row r="26">
      <c r="A26" s="7" t="s">
        <v>81</v>
      </c>
      <c r="B26" s="3" t="s">
        <v>82</v>
      </c>
      <c r="C26" s="4" t="str">
        <f>IFERROR(__xludf.DUMMYFUNCTION("GOOGLETRANSLATE(B26,""en"",""hi"")"),"ड्रॉप स्थान")</f>
        <v>ड्रॉप स्थान</v>
      </c>
      <c r="D26" s="6" t="s">
        <v>83</v>
      </c>
      <c r="E26" s="4" t="str">
        <f>IFERROR(__xludf.DUMMYFUNCTION("GOOGLETRANSLATE(B26,""en"",""fr"")"),"Lieu de dépôt")</f>
        <v>Lieu de dépôt</v>
      </c>
      <c r="F26" s="4" t="str">
        <f>IFERROR(__xludf.DUMMYFUNCTION("GOOGLETRANSLATE(B26,""en"",""tr"")"),"Bırakma Yeri")</f>
        <v>Bırakma Yeri</v>
      </c>
      <c r="G26" s="4" t="str">
        <f>IFERROR(__xludf.DUMMYFUNCTION("GOOGLETRANSLATE(B26,""en"",""ru"")"),"Место сброса")</f>
        <v>Место сброса</v>
      </c>
      <c r="H26" s="4" t="str">
        <f>IFERROR(__xludf.DUMMYFUNCTION("GOOGLETRANSLATE(B26,""en"",""it"")"),"Posizione di rilascio")</f>
        <v>Posizione di rilascio</v>
      </c>
      <c r="I26" s="4" t="str">
        <f>IFERROR(__xludf.DUMMYFUNCTION("GOOGLETRANSLATE(B26,""en"",""de"")"),"Abwurfort")</f>
        <v>Abwurfort</v>
      </c>
      <c r="J26" s="4" t="str">
        <f>IFERROR(__xludf.DUMMYFUNCTION("GOOGLETRANSLATE(B26,""en"",""ko"")"),"드롭 위치")</f>
        <v>드롭 위치</v>
      </c>
      <c r="K26" s="4" t="str">
        <f>IFERROR(__xludf.DUMMYFUNCTION("GOOGLETRANSLATE(B26,""en"",""zh"")"),"掉落地点")</f>
        <v>掉落地点</v>
      </c>
      <c r="L26" s="4" t="str">
        <f>IFERROR(__xludf.DUMMYFUNCTION("GOOGLETRANSLATE(B26,""en"",""es"")"),"Lugar de entrega")</f>
        <v>Lugar de entrega</v>
      </c>
      <c r="M26" s="4" t="str">
        <f>IFERROR(__xludf.DUMMYFUNCTION("GOOGLETRANSLATE(B26,""en"",""iw"")"),"שחרור מיקום")</f>
        <v>שחרור מיקום</v>
      </c>
      <c r="N26" s="4" t="str">
        <f>IFERROR(__xludf.DUMMYFUNCTION("GOOGLETRANSLATE(B26,""en"",""bn"")"),"ড্রপ অবস্থান")</f>
        <v>ড্রপ অবস্থান</v>
      </c>
      <c r="O26" s="4" t="str">
        <f>IFERROR(__xludf.DUMMYFUNCTION("GOOGLETRANSLATE(B26,""en"",""pt"")"),"Local de entrega")</f>
        <v>Local de entrega</v>
      </c>
    </row>
    <row r="27">
      <c r="A27" s="7" t="s">
        <v>84</v>
      </c>
      <c r="B27" s="3" t="s">
        <v>85</v>
      </c>
      <c r="C27" s="4" t="str">
        <f>IFERROR(__xludf.DUMMYFUNCTION("GOOGLETRANSLATE(B27,""en"",""hi"")"),"दैनिक")</f>
        <v>दैनिक</v>
      </c>
      <c r="D27" s="6" t="s">
        <v>86</v>
      </c>
      <c r="E27" s="4" t="str">
        <f>IFERROR(__xludf.DUMMYFUNCTION("GOOGLETRANSLATE(B27,""en"",""fr"")"),"Tous les jours")</f>
        <v>Tous les jours</v>
      </c>
      <c r="F27" s="4" t="str">
        <f>IFERROR(__xludf.DUMMYFUNCTION("GOOGLETRANSLATE(B27,""en"",""tr"")"),"Günlük")</f>
        <v>Günlük</v>
      </c>
      <c r="G27" s="4" t="str">
        <f>IFERROR(__xludf.DUMMYFUNCTION("GOOGLETRANSLATE(B27,""en"",""ru"")"),"Ежедневно")</f>
        <v>Ежедневно</v>
      </c>
      <c r="H27" s="4" t="str">
        <f>IFERROR(__xludf.DUMMYFUNCTION("GOOGLETRANSLATE(B27,""en"",""it"")"),"Quotidiano")</f>
        <v>Quotidiano</v>
      </c>
      <c r="I27" s="4" t="str">
        <f>IFERROR(__xludf.DUMMYFUNCTION("GOOGLETRANSLATE(B27,""en"",""de"")"),"Täglich")</f>
        <v>Täglich</v>
      </c>
      <c r="J27" s="4" t="str">
        <f>IFERROR(__xludf.DUMMYFUNCTION("GOOGLETRANSLATE(B27,""en"",""ko"")"),"일일")</f>
        <v>일일</v>
      </c>
      <c r="K27" s="4" t="str">
        <f>IFERROR(__xludf.DUMMYFUNCTION("GOOGLETRANSLATE(B27,""en"",""zh"")"),"日常的")</f>
        <v>日常的</v>
      </c>
      <c r="L27" s="4" t="str">
        <f>IFERROR(__xludf.DUMMYFUNCTION("GOOGLETRANSLATE(B27,""en"",""es"")"),"A diario")</f>
        <v>A diario</v>
      </c>
      <c r="M27" s="4" t="str">
        <f>IFERROR(__xludf.DUMMYFUNCTION("GOOGLETRANSLATE(B27,""en"",""iw"")"),"יוֹמִי")</f>
        <v>יוֹמִי</v>
      </c>
      <c r="N27" s="4" t="str">
        <f>IFERROR(__xludf.DUMMYFUNCTION("GOOGLETRANSLATE(B27,""en"",""bn"")"),"দৈনিক")</f>
        <v>দৈনিক</v>
      </c>
      <c r="O27" s="4" t="str">
        <f>IFERROR(__xludf.DUMMYFUNCTION("GOOGLETRANSLATE(B27,""en"",""pt"")"),"Diário")</f>
        <v>Diário</v>
      </c>
    </row>
    <row r="28">
      <c r="A28" s="7" t="s">
        <v>87</v>
      </c>
      <c r="B28" s="3" t="s">
        <v>88</v>
      </c>
      <c r="C28" s="4" t="str">
        <f>IFERROR(__xludf.DUMMYFUNCTION("GOOGLETRANSLATE(B28,""en"",""hi"")"),"किराये")</f>
        <v>किराये</v>
      </c>
      <c r="D28" s="6" t="s">
        <v>89</v>
      </c>
      <c r="E28" s="4" t="str">
        <f>IFERROR(__xludf.DUMMYFUNCTION("GOOGLETRANSLATE(B28,""en"",""fr"")"),"De location")</f>
        <v>De location</v>
      </c>
      <c r="F28" s="4" t="str">
        <f>IFERROR(__xludf.DUMMYFUNCTION("GOOGLETRANSLATE(B28,""en"",""tr"")"),"Kiralama")</f>
        <v>Kiralama</v>
      </c>
      <c r="G28" s="4" t="str">
        <f>IFERROR(__xludf.DUMMYFUNCTION("GOOGLETRANSLATE(B28,""en"",""ru"")"),"Аренда")</f>
        <v>Аренда</v>
      </c>
      <c r="H28" s="4" t="str">
        <f>IFERROR(__xludf.DUMMYFUNCTION("GOOGLETRANSLATE(B28,""en"",""it"")"),"Noleggio")</f>
        <v>Noleggio</v>
      </c>
      <c r="I28" s="4" t="str">
        <f>IFERROR(__xludf.DUMMYFUNCTION("GOOGLETRANSLATE(B28,""en"",""de"")"),"Vermietung")</f>
        <v>Vermietung</v>
      </c>
      <c r="J28" s="4" t="str">
        <f>IFERROR(__xludf.DUMMYFUNCTION("GOOGLETRANSLATE(B28,""en"",""ko"")"),"임대")</f>
        <v>임대</v>
      </c>
      <c r="K28" s="4" t="str">
        <f>IFERROR(__xludf.DUMMYFUNCTION("GOOGLETRANSLATE(B28,""en"",""zh"")"),"租赁")</f>
        <v>租赁</v>
      </c>
      <c r="L28" s="4" t="str">
        <f>IFERROR(__xludf.DUMMYFUNCTION("GOOGLETRANSLATE(B28,""en"",""es"")"),"Alquiler")</f>
        <v>Alquiler</v>
      </c>
      <c r="M28" s="4" t="str">
        <f>IFERROR(__xludf.DUMMYFUNCTION("GOOGLETRANSLATE(B28,""en"",""iw"")"),"השכרה")</f>
        <v>השכרה</v>
      </c>
      <c r="N28" s="4" t="str">
        <f>IFERROR(__xludf.DUMMYFUNCTION("GOOGLETRANSLATE(B28,""en"",""bn"")"),"ভাড়া")</f>
        <v>ভাড়া</v>
      </c>
      <c r="O28" s="4" t="str">
        <f>IFERROR(__xludf.DUMMYFUNCTION("GOOGLETRANSLATE(B28,""en"",""pt"")"),"Aluguel")</f>
        <v>Aluguel</v>
      </c>
    </row>
    <row r="29">
      <c r="A29" s="7" t="s">
        <v>90</v>
      </c>
      <c r="B29" s="3" t="s">
        <v>91</v>
      </c>
      <c r="C29" s="4" t="str">
        <f>IFERROR(__xludf.DUMMYFUNCTION("GOOGLETRANSLATE(B29,""en"",""hi"")"),"खोज")</f>
        <v>खोज</v>
      </c>
      <c r="D29" s="6" t="s">
        <v>92</v>
      </c>
      <c r="E29" s="4" t="str">
        <f>IFERROR(__xludf.DUMMYFUNCTION("GOOGLETRANSLATE(B29,""en"",""fr"")"),"Recherche")</f>
        <v>Recherche</v>
      </c>
      <c r="F29" s="4" t="str">
        <f>IFERROR(__xludf.DUMMYFUNCTION("GOOGLETRANSLATE(B29,""en"",""tr"")"),"Aramak")</f>
        <v>Aramak</v>
      </c>
      <c r="G29" s="4" t="str">
        <f>IFERROR(__xludf.DUMMYFUNCTION("GOOGLETRANSLATE(B29,""en"",""ru"")"),"Поиск")</f>
        <v>Поиск</v>
      </c>
      <c r="H29" s="4" t="str">
        <f>IFERROR(__xludf.DUMMYFUNCTION("GOOGLETRANSLATE(B29,""en"",""it"")"),"Ricerca")</f>
        <v>Ricerca</v>
      </c>
      <c r="I29" s="4" t="str">
        <f>IFERROR(__xludf.DUMMYFUNCTION("GOOGLETRANSLATE(B29,""en"",""de"")"),"Suchen")</f>
        <v>Suchen</v>
      </c>
      <c r="J29" s="4" t="str">
        <f>IFERROR(__xludf.DUMMYFUNCTION("GOOGLETRANSLATE(B29,""en"",""ko"")"),"찾다")</f>
        <v>찾다</v>
      </c>
      <c r="K29" s="4" t="str">
        <f>IFERROR(__xludf.DUMMYFUNCTION("GOOGLETRANSLATE(B29,""en"",""zh"")"),"搜索")</f>
        <v>搜索</v>
      </c>
      <c r="L29" s="4" t="str">
        <f>IFERROR(__xludf.DUMMYFUNCTION("GOOGLETRANSLATE(B29,""en"",""es"")"),"Buscar")</f>
        <v>Buscar</v>
      </c>
      <c r="M29" s="4" t="str">
        <f>IFERROR(__xludf.DUMMYFUNCTION("GOOGLETRANSLATE(B29,""en"",""iw"")"),"לְחַפֵּשׂ")</f>
        <v>לְחַפֵּשׂ</v>
      </c>
      <c r="N29" s="4" t="str">
        <f>IFERROR(__xludf.DUMMYFUNCTION("GOOGLETRANSLATE(B29,""en"",""bn"")"),"অনুসন্ধান করুন")</f>
        <v>অনুসন্ধান করুন</v>
      </c>
      <c r="O29" s="4" t="str">
        <f>IFERROR(__xludf.DUMMYFUNCTION("GOOGLETRANSLATE(B29,""en"",""pt"")"),"Procurar")</f>
        <v>Procurar</v>
      </c>
    </row>
    <row r="30">
      <c r="A30" s="7" t="s">
        <v>93</v>
      </c>
      <c r="B30" s="3" t="s">
        <v>94</v>
      </c>
      <c r="C30" s="4" t="str">
        <f>IFERROR(__xludf.DUMMYFUNCTION("GOOGLETRANSLATE(B30,""en"",""hi"")"),"उठाना")</f>
        <v>उठाना</v>
      </c>
      <c r="D30" s="6" t="s">
        <v>95</v>
      </c>
      <c r="E30" s="4" t="str">
        <f>IFERROR(__xludf.DUMMYFUNCTION("GOOGLETRANSLATE(B30,""en"",""fr"")"),"Ramasser")</f>
        <v>Ramasser</v>
      </c>
      <c r="F30" s="4" t="str">
        <f>IFERROR(__xludf.DUMMYFUNCTION("GOOGLETRANSLATE(B30,""en"",""tr"")"),"Toplamak")</f>
        <v>Toplamak</v>
      </c>
      <c r="G30" s="4" t="str">
        <f>IFERROR(__xludf.DUMMYFUNCTION("GOOGLETRANSLATE(B30,""en"",""ru"")"),"Подобрать")</f>
        <v>Подобрать</v>
      </c>
      <c r="H30" s="4" t="str">
        <f>IFERROR(__xludf.DUMMYFUNCTION("GOOGLETRANSLATE(B30,""en"",""it"")"),"Raccolta")</f>
        <v>Raccolta</v>
      </c>
      <c r="I30" s="4" t="str">
        <f>IFERROR(__xludf.DUMMYFUNCTION("GOOGLETRANSLATE(B30,""en"",""de"")"),"Abholen")</f>
        <v>Abholen</v>
      </c>
      <c r="J30" s="4" t="str">
        <f>IFERROR(__xludf.DUMMYFUNCTION("GOOGLETRANSLATE(B30,""en"",""ko"")"),"찾다")</f>
        <v>찾다</v>
      </c>
      <c r="K30" s="4" t="str">
        <f>IFERROR(__xludf.DUMMYFUNCTION("GOOGLETRANSLATE(B30,""en"",""zh"")"),"捡起")</f>
        <v>捡起</v>
      </c>
      <c r="L30" s="4" t="str">
        <f>IFERROR(__xludf.DUMMYFUNCTION("GOOGLETRANSLATE(B30,""en"",""es"")"),"Levantar")</f>
        <v>Levantar</v>
      </c>
      <c r="M30" s="4" t="str">
        <f>IFERROR(__xludf.DUMMYFUNCTION("GOOGLETRANSLATE(B30,""en"",""iw"")"),"איסוף")</f>
        <v>איסוף</v>
      </c>
      <c r="N30" s="4" t="str">
        <f>IFERROR(__xludf.DUMMYFUNCTION("GOOGLETRANSLATE(B30,""en"",""bn"")"),"পিক আপ")</f>
        <v>পিক আপ</v>
      </c>
      <c r="O30" s="4" t="str">
        <f>IFERROR(__xludf.DUMMYFUNCTION("GOOGLETRANSLATE(B30,""en"",""pt"")"),"Escolher")</f>
        <v>Escolher</v>
      </c>
    </row>
    <row r="31">
      <c r="A31" s="7" t="s">
        <v>96</v>
      </c>
      <c r="B31" s="3" t="s">
        <v>97</v>
      </c>
      <c r="C31" s="4" t="str">
        <f>IFERROR(__xludf.DUMMYFUNCTION("GOOGLETRANSLATE(B31,""en"",""hi"")"),"पुष्टि करना")</f>
        <v>पुष्टि करना</v>
      </c>
      <c r="D31" s="6" t="s">
        <v>98</v>
      </c>
      <c r="E31" s="4" t="str">
        <f>IFERROR(__xludf.DUMMYFUNCTION("GOOGLETRANSLATE(B31,""en"",""fr"")"),"Confirmer")</f>
        <v>Confirmer</v>
      </c>
      <c r="F31" s="4" t="str">
        <f>IFERROR(__xludf.DUMMYFUNCTION("GOOGLETRANSLATE(B31,""en"",""tr"")"),"Onaylamak")</f>
        <v>Onaylamak</v>
      </c>
      <c r="G31" s="4" t="str">
        <f>IFERROR(__xludf.DUMMYFUNCTION("GOOGLETRANSLATE(B31,""en"",""ru"")"),"Подтверждать")</f>
        <v>Подтверждать</v>
      </c>
      <c r="H31" s="4" t="str">
        <f>IFERROR(__xludf.DUMMYFUNCTION("GOOGLETRANSLATE(B31,""en"",""it"")"),"Confermare")</f>
        <v>Confermare</v>
      </c>
      <c r="I31" s="4" t="str">
        <f>IFERROR(__xludf.DUMMYFUNCTION("GOOGLETRANSLATE(B31,""en"",""de"")"),"Bestätigen")</f>
        <v>Bestätigen</v>
      </c>
      <c r="J31" s="4" t="str">
        <f>IFERROR(__xludf.DUMMYFUNCTION("GOOGLETRANSLATE(B31,""en"",""ko"")"),"확인하다")</f>
        <v>확인하다</v>
      </c>
      <c r="K31" s="4" t="str">
        <f>IFERROR(__xludf.DUMMYFUNCTION("GOOGLETRANSLATE(B31,""en"",""zh"")"),"确认")</f>
        <v>确认</v>
      </c>
      <c r="L31" s="4" t="str">
        <f>IFERROR(__xludf.DUMMYFUNCTION("GOOGLETRANSLATE(B31,""en"",""es"")"),"Confirmar")</f>
        <v>Confirmar</v>
      </c>
      <c r="M31" s="4" t="str">
        <f>IFERROR(__xludf.DUMMYFUNCTION("GOOGLETRANSLATE(B31,""en"",""iw"")"),"לְאַשֵׁר")</f>
        <v>לְאַשֵׁר</v>
      </c>
      <c r="N31" s="4" t="str">
        <f>IFERROR(__xludf.DUMMYFUNCTION("GOOGLETRANSLATE(B31,""en"",""bn"")"),"নিশ্চিত করুন")</f>
        <v>নিশ্চিত করুন</v>
      </c>
      <c r="O31" s="4" t="str">
        <f>IFERROR(__xludf.DUMMYFUNCTION("GOOGLETRANSLATE(B31,""en"",""pt"")"),"Confirmar")</f>
        <v>Confirmar</v>
      </c>
    </row>
    <row r="32">
      <c r="A32" s="7" t="s">
        <v>99</v>
      </c>
      <c r="B32" s="3" t="s">
        <v>100</v>
      </c>
      <c r="C32" s="4" t="str">
        <f>IFERROR(__xludf.DUMMYFUNCTION("GOOGLETRANSLATE(B32,""en"",""hi"")"),"पसंदीदा")</f>
        <v>पसंदीदा</v>
      </c>
      <c r="D32" s="6" t="s">
        <v>101</v>
      </c>
      <c r="E32" s="4" t="str">
        <f>IFERROR(__xludf.DUMMYFUNCTION("GOOGLETRANSLATE(B32,""en"",""fr"")"),"Favoris")</f>
        <v>Favoris</v>
      </c>
      <c r="F32" s="4" t="str">
        <f>IFERROR(__xludf.DUMMYFUNCTION("GOOGLETRANSLATE(B32,""en"",""tr"")"),"Favoriler")</f>
        <v>Favoriler</v>
      </c>
      <c r="G32" s="4" t="str">
        <f>IFERROR(__xludf.DUMMYFUNCTION("GOOGLETRANSLATE(B32,""en"",""ru"")"),"Избранное")</f>
        <v>Избранное</v>
      </c>
      <c r="H32" s="4" t="str">
        <f>IFERROR(__xludf.DUMMYFUNCTION("GOOGLETRANSLATE(B32,""en"",""it"")"),"Preferiti")</f>
        <v>Preferiti</v>
      </c>
      <c r="I32" s="4" t="str">
        <f>IFERROR(__xludf.DUMMYFUNCTION("GOOGLETRANSLATE(B32,""en"",""de"")"),"Favoriten")</f>
        <v>Favoriten</v>
      </c>
      <c r="J32" s="4" t="str">
        <f>IFERROR(__xludf.DUMMYFUNCTION("GOOGLETRANSLATE(B32,""en"",""ko"")"),"즐겨찾기")</f>
        <v>즐겨찾기</v>
      </c>
      <c r="K32" s="4" t="str">
        <f>IFERROR(__xludf.DUMMYFUNCTION("GOOGLETRANSLATE(B32,""en"",""zh"")"),"收藏夹")</f>
        <v>收藏夹</v>
      </c>
      <c r="L32" s="4" t="str">
        <f>IFERROR(__xludf.DUMMYFUNCTION("GOOGLETRANSLATE(B32,""en"",""es"")"),"Favoritos")</f>
        <v>Favoritos</v>
      </c>
      <c r="M32" s="4" t="str">
        <f>IFERROR(__xludf.DUMMYFUNCTION("GOOGLETRANSLATE(B32,""en"",""iw"")"),"מועדפים")</f>
        <v>מועדפים</v>
      </c>
      <c r="N32" s="4" t="str">
        <f>IFERROR(__xludf.DUMMYFUNCTION("GOOGLETRANSLATE(B32,""en"",""bn"")"),"প্রিয়")</f>
        <v>প্রিয়</v>
      </c>
      <c r="O32" s="4" t="str">
        <f>IFERROR(__xludf.DUMMYFUNCTION("GOOGLETRANSLATE(B32,""en"",""pt"")"),"Favoritos")</f>
        <v>Favoritos</v>
      </c>
    </row>
    <row r="33">
      <c r="A33" s="7" t="s">
        <v>102</v>
      </c>
      <c r="B33" s="3" t="s">
        <v>103</v>
      </c>
      <c r="C33" s="4" t="str">
        <f>IFERROR(__xludf.DUMMYFUNCTION("GOOGLETRANSLATE(B33,""en"",""hi"")"),"स्पष्ट")</f>
        <v>स्पष्ट</v>
      </c>
      <c r="D33" s="6" t="s">
        <v>104</v>
      </c>
      <c r="E33" s="4" t="str">
        <f>IFERROR(__xludf.DUMMYFUNCTION("GOOGLETRANSLATE(B33,""en"",""fr"")"),"Clair")</f>
        <v>Clair</v>
      </c>
      <c r="F33" s="4" t="str">
        <f>IFERROR(__xludf.DUMMYFUNCTION("GOOGLETRANSLATE(B33,""en"",""tr"")"),"Temizlemek")</f>
        <v>Temizlemek</v>
      </c>
      <c r="G33" s="4" t="str">
        <f>IFERROR(__xludf.DUMMYFUNCTION("GOOGLETRANSLATE(B33,""en"",""ru"")"),"Прозрачный")</f>
        <v>Прозрачный</v>
      </c>
      <c r="H33" s="4" t="str">
        <f>IFERROR(__xludf.DUMMYFUNCTION("GOOGLETRANSLATE(B33,""en"",""it"")"),"Chiaro")</f>
        <v>Chiaro</v>
      </c>
      <c r="I33" s="4" t="str">
        <f>IFERROR(__xludf.DUMMYFUNCTION("GOOGLETRANSLATE(B33,""en"",""de"")"),"Klar")</f>
        <v>Klar</v>
      </c>
      <c r="J33" s="4" t="str">
        <f>IFERROR(__xludf.DUMMYFUNCTION("GOOGLETRANSLATE(B33,""en"",""ko"")"),"분명한")</f>
        <v>분명한</v>
      </c>
      <c r="K33" s="4" t="str">
        <f>IFERROR(__xludf.DUMMYFUNCTION("GOOGLETRANSLATE(B33,""en"",""zh"")"),"清除")</f>
        <v>清除</v>
      </c>
      <c r="L33" s="4" t="str">
        <f>IFERROR(__xludf.DUMMYFUNCTION("GOOGLETRANSLATE(B33,""en"",""es"")"),"Claro")</f>
        <v>Claro</v>
      </c>
      <c r="M33" s="4" t="str">
        <f>IFERROR(__xludf.DUMMYFUNCTION("GOOGLETRANSLATE(B33,""en"",""iw"")"),"בָּרוּר")</f>
        <v>בָּרוּר</v>
      </c>
      <c r="N33" s="4" t="str">
        <f>IFERROR(__xludf.DUMMYFUNCTION("GOOGLETRANSLATE(B33,""en"",""bn"")"),"পরিষ্কার")</f>
        <v>পরিষ্কার</v>
      </c>
      <c r="O33" s="4" t="str">
        <f>IFERROR(__xludf.DUMMYFUNCTION("GOOGLETRANSLATE(B33,""en"",""pt"")"),"Claro")</f>
        <v>Claro</v>
      </c>
    </row>
    <row r="34">
      <c r="A34" s="7" t="s">
        <v>105</v>
      </c>
      <c r="B34" s="3" t="s">
        <v>106</v>
      </c>
      <c r="C34" s="4" t="str">
        <f>IFERROR(__xludf.DUMMYFUNCTION("GOOGLETRANSLATE(B34,""en"",""hi"")"),"यह किस ब्रांड का वाहन है?")</f>
        <v>यह किस ब्रांड का वाहन है?</v>
      </c>
      <c r="D34" s="6" t="s">
        <v>107</v>
      </c>
      <c r="E34" s="4" t="str">
        <f>IFERROR(__xludf.DUMMYFUNCTION("GOOGLETRANSLATE(B34,""en"",""fr"")"),"De quelle marque de véhicule s'agit-il ?")</f>
        <v>De quelle marque de véhicule s'agit-il ?</v>
      </c>
      <c r="F34" s="4" t="str">
        <f>IFERROR(__xludf.DUMMYFUNCTION("GOOGLETRANSLATE(B34,""en"",""tr"")"),"Aracın markası nedir?")</f>
        <v>Aracın markası nedir?</v>
      </c>
      <c r="G34" s="4" t="str">
        <f>IFERROR(__xludf.DUMMYFUNCTION("GOOGLETRANSLATE(B34,""en"",""ru"")"),"Какая это марка автомобиля?")</f>
        <v>Какая это марка автомобиля?</v>
      </c>
      <c r="H34" s="4" t="str">
        <f>IFERROR(__xludf.DUMMYFUNCTION("GOOGLETRANSLATE(B34,""en"",""it"")"),"Di che marca è il veicolo?")</f>
        <v>Di che marca è il veicolo?</v>
      </c>
      <c r="I34" s="4" t="str">
        <f>IFERROR(__xludf.DUMMYFUNCTION("GOOGLETRANSLATE(B34,""en"",""de"")"),"Um welche Fahrzeugmarke handelt es sich?")</f>
        <v>Um welche Fahrzeugmarke handelt es sich?</v>
      </c>
      <c r="J34" s="4" t="str">
        <f>IFERROR(__xludf.DUMMYFUNCTION("GOOGLETRANSLATE(B34,""en"",""ko"")"),"어떤 차종인가요?")</f>
        <v>어떤 차종인가요?</v>
      </c>
      <c r="K34" s="4" t="str">
        <f>IFERROR(__xludf.DUMMYFUNCTION("GOOGLETRANSLATE(B34,""en"",""zh"")"),"这是什么牌子的车？")</f>
        <v>这是什么牌子的车？</v>
      </c>
      <c r="L34" s="4" t="str">
        <f>IFERROR(__xludf.DUMMYFUNCTION("GOOGLETRANSLATE(B34,""en"",""es"")"),"¿Qué marca de vehículo es?")</f>
        <v>¿Qué marca de vehículo es?</v>
      </c>
      <c r="M34" s="4" t="str">
        <f>IFERROR(__xludf.DUMMYFUNCTION("GOOGLETRANSLATE(B34,""en"",""iw"")"),"באיזה יצרן רכב מדובר?")</f>
        <v>באיזה יצרן רכב מדובר?</v>
      </c>
      <c r="N34" s="4" t="str">
        <f>IFERROR(__xludf.DUMMYFUNCTION("GOOGLETRANSLATE(B34,""en"",""bn"")"),"এটা কি যানবাহন তৈরি?")</f>
        <v>এটা কি যানবাহন তৈরি?</v>
      </c>
      <c r="O34" s="4" t="str">
        <f>IFERROR(__xludf.DUMMYFUNCTION("GOOGLETRANSLATE(B34,""en"",""pt"")"),"Qual é a marca do veículo?")</f>
        <v>Qual é a marca do veículo?</v>
      </c>
    </row>
    <row r="35">
      <c r="A35" s="7" t="s">
        <v>108</v>
      </c>
      <c r="B35" s="3" t="s">
        <v>109</v>
      </c>
      <c r="C35" s="4" t="str">
        <f>IFERROR(__xludf.DUMMYFUNCTION("GOOGLETRANSLATE(B35,""en"",""hi"")"),"जारी रखना")</f>
        <v>जारी रखना</v>
      </c>
      <c r="D35" s="6" t="s">
        <v>110</v>
      </c>
      <c r="E35" s="4" t="str">
        <f>IFERROR(__xludf.DUMMYFUNCTION("GOOGLETRANSLATE(B35,""en"",""fr"")"),"Continuer")</f>
        <v>Continuer</v>
      </c>
      <c r="F35" s="4" t="str">
        <f>IFERROR(__xludf.DUMMYFUNCTION("GOOGLETRANSLATE(B35,""en"",""tr"")"),"Devam etmek")</f>
        <v>Devam etmek</v>
      </c>
      <c r="G35" s="4" t="str">
        <f>IFERROR(__xludf.DUMMYFUNCTION("GOOGLETRANSLATE(B35,""en"",""ru"")"),"Продолжать")</f>
        <v>Продолжать</v>
      </c>
      <c r="H35" s="4" t="str">
        <f>IFERROR(__xludf.DUMMYFUNCTION("GOOGLETRANSLATE(B35,""en"",""it"")"),"Continuare")</f>
        <v>Continuare</v>
      </c>
      <c r="I35" s="4" t="str">
        <f>IFERROR(__xludf.DUMMYFUNCTION("GOOGLETRANSLATE(B35,""en"",""de"")"),"Weitermachen")</f>
        <v>Weitermachen</v>
      </c>
      <c r="J35" s="4" t="str">
        <f>IFERROR(__xludf.DUMMYFUNCTION("GOOGLETRANSLATE(B35,""en"",""ko"")"),"계속하다")</f>
        <v>계속하다</v>
      </c>
      <c r="K35" s="4" t="str">
        <f>IFERROR(__xludf.DUMMYFUNCTION("GOOGLETRANSLATE(B35,""en"",""zh"")"),"继续")</f>
        <v>继续</v>
      </c>
      <c r="L35" s="4" t="str">
        <f>IFERROR(__xludf.DUMMYFUNCTION("GOOGLETRANSLATE(B35,""en"",""es"")"),"Continuar")</f>
        <v>Continuar</v>
      </c>
      <c r="M35" s="4" t="str">
        <f>IFERROR(__xludf.DUMMYFUNCTION("GOOGLETRANSLATE(B35,""en"",""iw"")"),"לְהַמשִׁיך")</f>
        <v>לְהַמשִׁיך</v>
      </c>
      <c r="N35" s="4" t="str">
        <f>IFERROR(__xludf.DUMMYFUNCTION("GOOGLETRANSLATE(B35,""en"",""bn"")"),"চালিয়ে যান")</f>
        <v>চালিয়ে যান</v>
      </c>
      <c r="O35" s="4" t="str">
        <f>IFERROR(__xludf.DUMMYFUNCTION("GOOGLETRANSLATE(B35,""en"",""pt"")"),"Continuar")</f>
        <v>Continuar</v>
      </c>
    </row>
    <row r="36">
      <c r="A36" s="7" t="s">
        <v>111</v>
      </c>
      <c r="B36" s="3" t="s">
        <v>112</v>
      </c>
      <c r="C36" s="4" t="str">
        <f>IFERROR(__xludf.DUMMYFUNCTION("GOOGLETRANSLATE(B36,""en"",""hi"")"),"यह वाहन का कौन सा मॉडल है?")</f>
        <v>यह वाहन का कौन सा मॉडल है?</v>
      </c>
      <c r="D36" s="6" t="s">
        <v>113</v>
      </c>
      <c r="E36" s="4" t="str">
        <f>IFERROR(__xludf.DUMMYFUNCTION("GOOGLETRANSLATE(B36,""en"",""fr"")"),"De quel modèle de véhicule s'agit-il ?")</f>
        <v>De quel modèle de véhicule s'agit-il ?</v>
      </c>
      <c r="F36" s="4" t="str">
        <f>IFERROR(__xludf.DUMMYFUNCTION("GOOGLETRANSLATE(B36,""en"",""tr"")"),"Aracınızın modeli nedir?")</f>
        <v>Aracınızın modeli nedir?</v>
      </c>
      <c r="G36" s="4" t="str">
        <f>IFERROR(__xludf.DUMMYFUNCTION("GOOGLETRANSLATE(B36,""en"",""ru"")"),"Какая это модель автомобиля?")</f>
        <v>Какая это модель автомобиля?</v>
      </c>
      <c r="H36" s="4" t="str">
        <f>IFERROR(__xludf.DUMMYFUNCTION("GOOGLETRANSLATE(B36,""en"",""it"")"),"Che modello di veicolo è?")</f>
        <v>Che modello di veicolo è?</v>
      </c>
      <c r="I36" s="4" t="str">
        <f>IFERROR(__xludf.DUMMYFUNCTION("GOOGLETRANSLATE(B36,""en"",""de"")"),"Um welches Fahrzeugmodell handelt es sich?")</f>
        <v>Um welches Fahrzeugmodell handelt es sich?</v>
      </c>
      <c r="J36" s="4" t="str">
        <f>IFERROR(__xludf.DUMMYFUNCTION("GOOGLETRANSLATE(B36,""en"",""ko"")"),"어떤 모델의 차량인가요?")</f>
        <v>어떤 모델의 차량인가요?</v>
      </c>
      <c r="K36" s="4" t="str">
        <f>IFERROR(__xludf.DUMMYFUNCTION("GOOGLETRANSLATE(B36,""en"",""zh"")"),"这是什么型号的车？")</f>
        <v>这是什么型号的车？</v>
      </c>
      <c r="L36" s="4" t="str">
        <f>IFERROR(__xludf.DUMMYFUNCTION("GOOGLETRANSLATE(B36,""en"",""es"")"),"¿Qué modelo de vehículo es?")</f>
        <v>¿Qué modelo de vehículo es?</v>
      </c>
      <c r="M36" s="4" t="str">
        <f>IFERROR(__xludf.DUMMYFUNCTION("GOOGLETRANSLATE(B36,""en"",""iw"")"),"באיזה דגם רכב מדובר?")</f>
        <v>באיזה דגם רכב מדובר?</v>
      </c>
      <c r="N36" s="4" t="str">
        <f>IFERROR(__xludf.DUMMYFUNCTION("GOOGLETRANSLATE(B36,""en"",""bn"")"),"এটা কি গাড়ির মডেল?")</f>
        <v>এটা কি গাড়ির মডেল?</v>
      </c>
      <c r="O36" s="4" t="str">
        <f>IFERROR(__xludf.DUMMYFUNCTION("GOOGLETRANSLATE(B36,""en"",""pt"")"),"Qual é o modelo do veículo?")</f>
        <v>Qual é o modelo do veículo?</v>
      </c>
    </row>
    <row r="37">
      <c r="A37" s="7" t="s">
        <v>114</v>
      </c>
      <c r="B37" s="3" t="s">
        <v>115</v>
      </c>
      <c r="C37" s="4" t="str">
        <f>IFERROR(__xludf.DUMMYFUNCTION("GOOGLETRANSLATE(B37,""en"",""hi"")"),"आप किस सेवा स्थान पर पंजीकरण कराना चाहते हैं?")</f>
        <v>आप किस सेवा स्थान पर पंजीकरण कराना चाहते हैं?</v>
      </c>
      <c r="D37" s="6" t="s">
        <v>116</v>
      </c>
      <c r="E37" s="4" t="str">
        <f>IFERROR(__xludf.DUMMYFUNCTION("GOOGLETRANSLATE(B37,""en"",""fr"")"),"À quel emplacement de service souhaitez-vous vous inscrire ?")</f>
        <v>À quel emplacement de service souhaitez-vous vous inscrire ?</v>
      </c>
      <c r="F37" s="4" t="str">
        <f>IFERROR(__xludf.DUMMYFUNCTION("GOOGLETRANSLATE(B37,""en"",""tr"")"),"Hangi hizmet lokasyonunu kaydettirmek istiyorsunuz?")</f>
        <v>Hangi hizmet lokasyonunu kaydettirmek istiyorsunuz?</v>
      </c>
      <c r="G37" s="4" t="str">
        <f>IFERROR(__xludf.DUMMYFUNCTION("GOOGLETRANSLATE(B37,""en"",""ru"")"),"Какое место обслуживания вы хотите зарегистрировать?")</f>
        <v>Какое место обслуживания вы хотите зарегистрировать?</v>
      </c>
      <c r="H37" s="4" t="str">
        <f>IFERROR(__xludf.DUMMYFUNCTION("GOOGLETRANSLATE(B37,""en"",""it"")"),"Quale sede di servizio desideri registrare?")</f>
        <v>Quale sede di servizio desideri registrare?</v>
      </c>
      <c r="I37" s="4" t="str">
        <f>IFERROR(__xludf.DUMMYFUNCTION("GOOGLETRANSLATE(B37,""en"",""de"")"),"Welchen Service-Standort möchten Sie registrieren?")</f>
        <v>Welchen Service-Standort möchten Sie registrieren?</v>
      </c>
      <c r="J37" s="4" t="str">
        <f>IFERROR(__xludf.DUMMYFUNCTION("GOOGLETRANSLATE(B37,""en"",""ko"")"),"어떤 서비스 위치를 등록하고 싶으신가요?")</f>
        <v>어떤 서비스 위치를 등록하고 싶으신가요?</v>
      </c>
      <c r="K37" s="4" t="str">
        <f>IFERROR(__xludf.DUMMYFUNCTION("GOOGLETRANSLATE(B37,""en"",""zh"")"),"您想注册哪个服务地点？")</f>
        <v>您想注册哪个服务地点？</v>
      </c>
      <c r="L37" s="4" t="str">
        <f>IFERROR(__xludf.DUMMYFUNCTION("GOOGLETRANSLATE(B37,""en"",""es"")"),"¿Qué ubicación de servicio desea registrar?")</f>
        <v>¿Qué ubicación de servicio desea registrar?</v>
      </c>
      <c r="M37" s="4" t="str">
        <f>IFERROR(__xludf.DUMMYFUNCTION("GOOGLETRANSLATE(B37,""en"",""iw"")"),"באיזה מיקום שירות אתה רוצה לרשום?")</f>
        <v>באיזה מיקום שירות אתה רוצה לרשום?</v>
      </c>
      <c r="N37" s="4" t="str">
        <f>IFERROR(__xludf.DUMMYFUNCTION("GOOGLETRANSLATE(B37,""en"",""bn"")"),"আপনি কোন পরিষেবা অবস্থান নিবন্ধন করতে চান?")</f>
        <v>আপনি কোন পরিষেবা অবস্থান নিবন্ধন করতে চান?</v>
      </c>
      <c r="O37" s="4" t="str">
        <f>IFERROR(__xludf.DUMMYFUNCTION("GOOGLETRANSLATE(B37,""en"",""pt"")"),"Qual local de serviço você deseja registrar?")</f>
        <v>Qual local de serviço você deseja registrar?</v>
      </c>
    </row>
    <row r="38">
      <c r="A38" s="7" t="s">
        <v>117</v>
      </c>
      <c r="B38" s="3" t="s">
        <v>118</v>
      </c>
      <c r="C38" s="4" t="str">
        <f>IFERROR(__xludf.DUMMYFUNCTION("GOOGLETRANSLATE(B38,""en"",""hi"")"),"यह किस प्रकार का वाहन है?")</f>
        <v>यह किस प्रकार का वाहन है?</v>
      </c>
      <c r="D38" s="6" t="s">
        <v>119</v>
      </c>
      <c r="E38" s="4" t="str">
        <f>IFERROR(__xludf.DUMMYFUNCTION("GOOGLETRANSLATE(B38,""en"",""fr"")"),"De quel type de véhicule s'agit-il ?")</f>
        <v>De quel type de véhicule s'agit-il ?</v>
      </c>
      <c r="F38" s="4" t="str">
        <f>IFERROR(__xludf.DUMMYFUNCTION("GOOGLETRANSLATE(B38,""en"",""tr"")"),"Aracın türü nedir?")</f>
        <v>Aracın türü nedir?</v>
      </c>
      <c r="G38" s="4" t="str">
        <f>IFERROR(__xludf.DUMMYFUNCTION("GOOGLETRANSLATE(B38,""en"",""ru"")"),"Какой тип транспортного средства это?")</f>
        <v>Какой тип транспортного средства это?</v>
      </c>
      <c r="H38" s="4" t="str">
        <f>IFERROR(__xludf.DUMMYFUNCTION("GOOGLETRANSLATE(B38,""en"",""it"")"),"Che tipo di veicolo è?")</f>
        <v>Che tipo di veicolo è?</v>
      </c>
      <c r="I38" s="4" t="str">
        <f>IFERROR(__xludf.DUMMYFUNCTION("GOOGLETRANSLATE(B38,""en"",""de"")"),"Um welchen Fahrzeugtyp handelt es sich?")</f>
        <v>Um welchen Fahrzeugtyp handelt es sich?</v>
      </c>
      <c r="J38" s="4" t="str">
        <f>IFERROR(__xludf.DUMMYFUNCTION("GOOGLETRANSLATE(B38,""en"",""ko"")"),"어떤 종류의 차량인가요?")</f>
        <v>어떤 종류의 차량인가요?</v>
      </c>
      <c r="K38" s="4" t="str">
        <f>IFERROR(__xludf.DUMMYFUNCTION("GOOGLETRANSLATE(B38,""en"",""zh"")"),"这是什么类型的车辆？")</f>
        <v>这是什么类型的车辆？</v>
      </c>
      <c r="L38" s="4" t="str">
        <f>IFERROR(__xludf.DUMMYFUNCTION("GOOGLETRANSLATE(B38,""en"",""es"")"),"¿Qué tipo de vehículo es?")</f>
        <v>¿Qué tipo de vehículo es?</v>
      </c>
      <c r="M38" s="4" t="str">
        <f>IFERROR(__xludf.DUMMYFUNCTION("GOOGLETRANSLATE(B38,""en"",""iw"")"),"באיזה סוג רכב מדובר?")</f>
        <v>באיזה סוג רכב מדובר?</v>
      </c>
      <c r="N38" s="4" t="str">
        <f>IFERROR(__xludf.DUMMYFUNCTION("GOOGLETRANSLATE(B38,""en"",""bn"")"),"এটা কি ধরনের যানবাহন?")</f>
        <v>এটা কি ধরনের যানবাহন?</v>
      </c>
      <c r="O38" s="4" t="str">
        <f>IFERROR(__xludf.DUMMYFUNCTION("GOOGLETRANSLATE(B38,""en"",""pt"")"),"Que tipo de veículo é?")</f>
        <v>Que tipo de veículo é?</v>
      </c>
    </row>
    <row r="39">
      <c r="A39" s="7" t="s">
        <v>120</v>
      </c>
      <c r="B39" s="3" t="s">
        <v>121</v>
      </c>
      <c r="C39" s="4" t="str">
        <f>IFERROR(__xludf.DUMMYFUNCTION("GOOGLETRANSLATE(B39,""en"",""hi"")"),"यह वाहन किस रंग का है?")</f>
        <v>यह वाहन किस रंग का है?</v>
      </c>
      <c r="D39" s="6" t="s">
        <v>122</v>
      </c>
      <c r="E39" s="4" t="str">
        <f>IFERROR(__xludf.DUMMYFUNCTION("GOOGLETRANSLATE(B39,""en"",""fr"")"),"De quelle couleur est le véhicule ?")</f>
        <v>De quelle couleur est le véhicule ?</v>
      </c>
      <c r="F39" s="4" t="str">
        <f>IFERROR(__xludf.DUMMYFUNCTION("GOOGLETRANSLATE(B39,""en"",""tr"")"),"Aracın rengi nedir?")</f>
        <v>Aracın rengi nedir?</v>
      </c>
      <c r="G39" s="4" t="str">
        <f>IFERROR(__xludf.DUMMYFUNCTION("GOOGLETRANSLATE(B39,""en"",""ru"")"),"Какого цвета автомобиль?")</f>
        <v>Какого цвета автомобиль?</v>
      </c>
      <c r="H39" s="4" t="str">
        <f>IFERROR(__xludf.DUMMYFUNCTION("GOOGLETRANSLATE(B39,""en"",""it"")"),"Di che colore è il veicolo?")</f>
        <v>Di che colore è il veicolo?</v>
      </c>
      <c r="I39" s="4" t="str">
        <f>IFERROR(__xludf.DUMMYFUNCTION("GOOGLETRANSLATE(B39,""en"",""de"")"),"Welche Farbe hat das Fahrzeug?")</f>
        <v>Welche Farbe hat das Fahrzeug?</v>
      </c>
      <c r="J39" s="4" t="str">
        <f>IFERROR(__xludf.DUMMYFUNCTION("GOOGLETRANSLATE(B39,""en"",""ko"")"),"차량의 색깔은 무엇입니까?")</f>
        <v>차량의 색깔은 무엇입니까?</v>
      </c>
      <c r="K39" s="4" t="str">
        <f>IFERROR(__xludf.DUMMYFUNCTION("GOOGLETRANSLATE(B39,""en"",""zh"")"),"车辆是什么颜色的？")</f>
        <v>车辆是什么颜色的？</v>
      </c>
      <c r="L39" s="4" t="str">
        <f>IFERROR(__xludf.DUMMYFUNCTION("GOOGLETRANSLATE(B39,""en"",""es"")"),"¿De qué color es el vehículo?")</f>
        <v>¿De qué color es el vehículo?</v>
      </c>
      <c r="M39" s="4" t="str">
        <f>IFERROR(__xludf.DUMMYFUNCTION("GOOGLETRANSLATE(B39,""en"",""iw"")"),"באיזה צבע רכב זה?")</f>
        <v>באיזה צבע רכב זה?</v>
      </c>
      <c r="N39" s="4" t="str">
        <f>IFERROR(__xludf.DUMMYFUNCTION("GOOGLETRANSLATE(B39,""en"",""bn"")"),"গাড়ির রং কি?")</f>
        <v>গাড়ির রং কি?</v>
      </c>
      <c r="O39" s="4" t="str">
        <f>IFERROR(__xludf.DUMMYFUNCTION("GOOGLETRANSLATE(B39,""en"",""pt"")"),"Qual é a cor do veículo?")</f>
        <v>Qual é a cor do veículo?</v>
      </c>
    </row>
    <row r="40">
      <c r="A40" s="7" t="s">
        <v>123</v>
      </c>
      <c r="B40" s="3" t="s">
        <v>124</v>
      </c>
      <c r="C40" s="4" t="str">
        <f>IFERROR(__xludf.DUMMYFUNCTION("GOOGLETRANSLATE(B40,""en"",""hi"")"),"वाहन संख्या")</f>
        <v>वाहन संख्या</v>
      </c>
      <c r="D40" s="6" t="s">
        <v>125</v>
      </c>
      <c r="E40" s="4" t="str">
        <f>IFERROR(__xludf.DUMMYFUNCTION("GOOGLETRANSLATE(B40,""en"",""fr"")"),"Numéro de véhicule")</f>
        <v>Numéro de véhicule</v>
      </c>
      <c r="F40" s="4" t="str">
        <f>IFERROR(__xludf.DUMMYFUNCTION("GOOGLETRANSLATE(B40,""en"",""tr"")"),"Araç Numarası")</f>
        <v>Araç Numarası</v>
      </c>
      <c r="G40" s="4" t="str">
        <f>IFERROR(__xludf.DUMMYFUNCTION("GOOGLETRANSLATE(B40,""en"",""ru"")"),"Номер транспортного средства")</f>
        <v>Номер транспортного средства</v>
      </c>
      <c r="H40" s="4" t="str">
        <f>IFERROR(__xludf.DUMMYFUNCTION("GOOGLETRANSLATE(B40,""en"",""it"")"),"Numero del veicolo")</f>
        <v>Numero del veicolo</v>
      </c>
      <c r="I40" s="4" t="str">
        <f>IFERROR(__xludf.DUMMYFUNCTION("GOOGLETRANSLATE(B40,""en"",""de"")"),"Fahrzeugnummer")</f>
        <v>Fahrzeugnummer</v>
      </c>
      <c r="J40" s="4" t="str">
        <f>IFERROR(__xludf.DUMMYFUNCTION("GOOGLETRANSLATE(B40,""en"",""ko"")"),"차량 번호")</f>
        <v>차량 번호</v>
      </c>
      <c r="K40" s="4" t="str">
        <f>IFERROR(__xludf.DUMMYFUNCTION("GOOGLETRANSLATE(B40,""en"",""zh"")"),"车辆号码")</f>
        <v>车辆号码</v>
      </c>
      <c r="L40" s="4" t="str">
        <f>IFERROR(__xludf.DUMMYFUNCTION("GOOGLETRANSLATE(B40,""en"",""es"")"),"Número de vehículo")</f>
        <v>Número de vehículo</v>
      </c>
      <c r="M40" s="4" t="str">
        <f>IFERROR(__xludf.DUMMYFUNCTION("GOOGLETRANSLATE(B40,""en"",""iw"")"),"מספר רכב")</f>
        <v>מספר רכב</v>
      </c>
      <c r="N40" s="4" t="str">
        <f>IFERROR(__xludf.DUMMYFUNCTION("GOOGLETRANSLATE(B40,""en"",""bn"")"),"গাড়ির নম্বর")</f>
        <v>গাড়ির নম্বর</v>
      </c>
      <c r="O40" s="4" t="str">
        <f>IFERROR(__xludf.DUMMYFUNCTION("GOOGLETRANSLATE(B40,""en"",""pt"")"),"Número do veículo")</f>
        <v>Número do veículo</v>
      </c>
    </row>
    <row r="41">
      <c r="A41" s="7" t="s">
        <v>126</v>
      </c>
      <c r="B41" s="3" t="s">
        <v>127</v>
      </c>
      <c r="C41" s="4" t="str">
        <f>IFERROR(__xludf.DUMMYFUNCTION("GOOGLETRANSLATE(B41,""en"",""hi"")"),"अपना वाहन नंबर दर्ज करें")</f>
        <v>अपना वाहन नंबर दर्ज करें</v>
      </c>
      <c r="D41" s="6" t="s">
        <v>128</v>
      </c>
      <c r="E41" s="4" t="str">
        <f>IFERROR(__xludf.DUMMYFUNCTION("GOOGLETRANSLATE(B41,""en"",""fr"")"),"Entrez votre numéro de véhicule")</f>
        <v>Entrez votre numéro de véhicule</v>
      </c>
      <c r="F41" s="4" t="str">
        <f>IFERROR(__xludf.DUMMYFUNCTION("GOOGLETRANSLATE(B41,""en"",""tr"")"),"Araç Numaranızı Girin")</f>
        <v>Araç Numaranızı Girin</v>
      </c>
      <c r="G41" s="4" t="str">
        <f>IFERROR(__xludf.DUMMYFUNCTION("GOOGLETRANSLATE(B41,""en"",""ru"")"),"Введите номер вашего автомобиля")</f>
        <v>Введите номер вашего автомобиля</v>
      </c>
      <c r="H41" s="4" t="str">
        <f>IFERROR(__xludf.DUMMYFUNCTION("GOOGLETRANSLATE(B41,""en"",""it"")"),"Inserisci il numero del tuo veicolo")</f>
        <v>Inserisci il numero del tuo veicolo</v>
      </c>
      <c r="I41" s="4" t="str">
        <f>IFERROR(__xludf.DUMMYFUNCTION("GOOGLETRANSLATE(B41,""en"",""de"")"),"Geben Sie Ihre Fahrzeugnummer ein")</f>
        <v>Geben Sie Ihre Fahrzeugnummer ein</v>
      </c>
      <c r="J41" s="4" t="str">
        <f>IFERROR(__xludf.DUMMYFUNCTION("GOOGLETRANSLATE(B41,""en"",""ko"")"),"차량 번호를 입력하세요")</f>
        <v>차량 번호를 입력하세요</v>
      </c>
      <c r="K41" s="4" t="str">
        <f>IFERROR(__xludf.DUMMYFUNCTION("GOOGLETRANSLATE(B41,""en"",""zh"")"),"输入您的车辆号码")</f>
        <v>输入您的车辆号码</v>
      </c>
      <c r="L41" s="4" t="str">
        <f>IFERROR(__xludf.DUMMYFUNCTION("GOOGLETRANSLATE(B41,""en"",""es"")"),"Ingrese el número de su vehículo")</f>
        <v>Ingrese el número de su vehículo</v>
      </c>
      <c r="M41" s="4" t="str">
        <f>IFERROR(__xludf.DUMMYFUNCTION("GOOGLETRANSLATE(B41,""en"",""iw"")"),"הזן את מספר הרכב שלך")</f>
        <v>הזן את מספר הרכב שלך</v>
      </c>
      <c r="N41" s="4" t="str">
        <f>IFERROR(__xludf.DUMMYFUNCTION("GOOGLETRANSLATE(B41,""en"",""bn"")"),"আপনার গাড়ির নম্বর লিখুন")</f>
        <v>আপনার গাড়ির নম্বর লিখুন</v>
      </c>
      <c r="O41" s="4" t="str">
        <f>IFERROR(__xludf.DUMMYFUNCTION("GOOGLETRANSLATE(B41,""en"",""pt"")"),"Digite o número do seu veículo")</f>
        <v>Digite o número do seu veículo</v>
      </c>
    </row>
    <row r="42">
      <c r="A42" s="7" t="s">
        <v>129</v>
      </c>
      <c r="B42" s="3" t="s">
        <v>130</v>
      </c>
      <c r="C42" s="4" t="str">
        <f>IFERROR(__xludf.DUMMYFUNCTION("GOOGLETRANSLATE(B42,""en"",""hi"")"),"वाहन का मॉडल वर्ष क्या है?")</f>
        <v>वाहन का मॉडल वर्ष क्या है?</v>
      </c>
      <c r="D42" s="6" t="s">
        <v>131</v>
      </c>
      <c r="E42" s="4" t="str">
        <f>IFERROR(__xludf.DUMMYFUNCTION("GOOGLETRANSLATE(B42,""en"",""fr"")"),"Quelle est l'année du modèle du véhicule")</f>
        <v>Quelle est l'année du modèle du véhicule</v>
      </c>
      <c r="F42" s="4" t="str">
        <f>IFERROR(__xludf.DUMMYFUNCTION("GOOGLETRANSLATE(B42,""en"",""tr"")"),"Aracın model yılı nedir?")</f>
        <v>Aracın model yılı nedir?</v>
      </c>
      <c r="G42" s="4" t="str">
        <f>IFERROR(__xludf.DUMMYFUNCTION("GOOGLETRANSLATE(B42,""en"",""ru"")"),"Укажите год выпуска автомобиля.")</f>
        <v>Укажите год выпуска автомобиля.</v>
      </c>
      <c r="H42" s="4" t="str">
        <f>IFERROR(__xludf.DUMMYFUNCTION("GOOGLETRANSLATE(B42,""en"",""it"")"),"Qual è l'anno del modello del veicolo?")</f>
        <v>Qual è l'anno del modello del veicolo?</v>
      </c>
      <c r="I42" s="4" t="str">
        <f>IFERROR(__xludf.DUMMYFUNCTION("GOOGLETRANSLATE(B42,""en"",""de"")"),"Was ist das Modelljahr des Fahrzeugs?")</f>
        <v>Was ist das Modelljahr des Fahrzeugs?</v>
      </c>
      <c r="J42" s="4" t="str">
        <f>IFERROR(__xludf.DUMMYFUNCTION("GOOGLETRANSLATE(B42,""en"",""ko"")"),"차량의 모델 연도는 무엇입니까?")</f>
        <v>차량의 모델 연도는 무엇입니까?</v>
      </c>
      <c r="K42" s="4" t="str">
        <f>IFERROR(__xludf.DUMMYFUNCTION("GOOGLETRANSLATE(B42,""en"",""zh"")"),"车辆的车型年份是哪一年")</f>
        <v>车辆的车型年份是哪一年</v>
      </c>
      <c r="L42" s="4" t="str">
        <f>IFERROR(__xludf.DUMMYFUNCTION("GOOGLETRANSLATE(B42,""en"",""es"")"),"¿Cuál es el año del modelo del vehículo?")</f>
        <v>¿Cuál es el año del modelo del vehículo?</v>
      </c>
      <c r="M42" s="4" t="str">
        <f>IFERROR(__xludf.DUMMYFUNCTION("GOOGLETRANSLATE(B42,""en"",""iw"")"),"מהי שנת הדגם של הרכב")</f>
        <v>מהי שנת הדגם של הרכב</v>
      </c>
      <c r="N42" s="4" t="str">
        <f>IFERROR(__xludf.DUMMYFUNCTION("GOOGLETRANSLATE(B42,""en"",""bn"")"),"গাড়ির মডেল বছর কি?")</f>
        <v>গাড়ির মডেল বছর কি?</v>
      </c>
      <c r="O42" s="4" t="str">
        <f>IFERROR(__xludf.DUMMYFUNCTION("GOOGLETRANSLATE(B42,""en"",""pt"")"),"Qual é o ano do modelo do veículo")</f>
        <v>Qual é o ano do modelo do veículo</v>
      </c>
    </row>
    <row r="43">
      <c r="A43" s="7" t="s">
        <v>132</v>
      </c>
      <c r="B43" s="3" t="s">
        <v>133</v>
      </c>
      <c r="C43" s="4" t="str">
        <f>IFERROR(__xludf.DUMMYFUNCTION("GOOGLETRANSLATE(B43,""en"",""hi"")"),"रेफरल लागू करें")</f>
        <v>रेफरल लागू करें</v>
      </c>
      <c r="D43" s="4" t="str">
        <f>IFERROR(__xludf.DUMMYFUNCTION("GOOGLETRANSLATE(B43,""en"",""ar"")"),"تطبيق الإحالة")</f>
        <v>تطبيق الإحالة</v>
      </c>
      <c r="E43" s="4" t="str">
        <f>IFERROR(__xludf.DUMMYFUNCTION("GOOGLETRANSLATE(B43,""en"",""fr"")"),"Appliquer une recommandation")</f>
        <v>Appliquer une recommandation</v>
      </c>
      <c r="F43" s="4" t="str">
        <f>IFERROR(__xludf.DUMMYFUNCTION("GOOGLETRANSLATE(B43,""en"",""tr"")"),"Yönlendirmeyi Uygula")</f>
        <v>Yönlendirmeyi Uygula</v>
      </c>
      <c r="G43" s="4" t="str">
        <f>IFERROR(__xludf.DUMMYFUNCTION("GOOGLETRANSLATE(B43,""en"",""ru"")"),"Подать заявку на реферал")</f>
        <v>Подать заявку на реферал</v>
      </c>
      <c r="H43" s="4" t="str">
        <f>IFERROR(__xludf.DUMMYFUNCTION("GOOGLETRANSLATE(B43,""en"",""it"")"),"Applica referral")</f>
        <v>Applica referral</v>
      </c>
      <c r="I43" s="4" t="str">
        <f>IFERROR(__xludf.DUMMYFUNCTION("GOOGLETRANSLATE(B43,""en"",""de"")"),"Empfehlung anwenden")</f>
        <v>Empfehlung anwenden</v>
      </c>
      <c r="J43" s="4" t="str">
        <f>IFERROR(__xludf.DUMMYFUNCTION("GOOGLETRANSLATE(B43,""en"",""ko"")"),"추천 신청")</f>
        <v>추천 신청</v>
      </c>
      <c r="K43" s="4" t="str">
        <f>IFERROR(__xludf.DUMMYFUNCTION("GOOGLETRANSLATE(B43,""en"",""zh"")"),"申请推荐")</f>
        <v>申请推荐</v>
      </c>
      <c r="L43" s="4" t="str">
        <f>IFERROR(__xludf.DUMMYFUNCTION("GOOGLETRANSLATE(B43,""en"",""es"")"),"Solicitar referencia")</f>
        <v>Solicitar referencia</v>
      </c>
      <c r="M43" s="4" t="str">
        <f>IFERROR(__xludf.DUMMYFUNCTION("GOOGLETRANSLATE(B43,""en"",""iw"")"),"החל הפניה")</f>
        <v>החל הפניה</v>
      </c>
      <c r="N43" s="4" t="str">
        <f>IFERROR(__xludf.DUMMYFUNCTION("GOOGLETRANSLATE(B43,""en"",""bn"")"),"রেফারেল আবেদন করুন")</f>
        <v>রেফারেল আবেদন করুন</v>
      </c>
      <c r="O43" s="4" t="str">
        <f>IFERROR(__xludf.DUMMYFUNCTION("GOOGLETRANSLATE(B43,""en"",""pt"")"),"Aplicar referência")</f>
        <v>Aplicar referência</v>
      </c>
    </row>
    <row r="44">
      <c r="A44" s="7" t="s">
        <v>134</v>
      </c>
      <c r="B44" s="3" t="s">
        <v>135</v>
      </c>
      <c r="C44" s="4" t="str">
        <f>IFERROR(__xludf.DUMMYFUNCTION("GOOGLETRANSLATE(B44,""en"",""hi"")"),"रेफरल कोड दर्ज करें")</f>
        <v>रेफरल कोड दर्ज करें</v>
      </c>
      <c r="D44" s="4" t="str">
        <f>IFERROR(__xludf.DUMMYFUNCTION("GOOGLETRANSLATE(B44,""en"",""ar"")"),"أدخل رمز الإحالة")</f>
        <v>أدخل رمز الإحالة</v>
      </c>
      <c r="E44" s="4" t="str">
        <f>IFERROR(__xludf.DUMMYFUNCTION("GOOGLETRANSLATE(B44,""en"",""fr"")"),"Entrez le code de parrainage")</f>
        <v>Entrez le code de parrainage</v>
      </c>
      <c r="F44" s="4" t="str">
        <f>IFERROR(__xludf.DUMMYFUNCTION("GOOGLETRANSLATE(B44,""en"",""tr"")"),"Yönlendirme Kodunu Girin")</f>
        <v>Yönlendirme Kodunu Girin</v>
      </c>
      <c r="G44" s="4" t="str">
        <f>IFERROR(__xludf.DUMMYFUNCTION("GOOGLETRANSLATE(B44,""en"",""ru"")"),"Введите реферальный код")</f>
        <v>Введите реферальный код</v>
      </c>
      <c r="H44" s="4" t="str">
        <f>IFERROR(__xludf.DUMMYFUNCTION("GOOGLETRANSLATE(B44,""en"",""it"")"),"Inserisci il codice di riferimento")</f>
        <v>Inserisci il codice di riferimento</v>
      </c>
      <c r="I44" s="4" t="str">
        <f>IFERROR(__xludf.DUMMYFUNCTION("GOOGLETRANSLATE(B44,""en"",""de"")"),"Empfehlungscode eingeben")</f>
        <v>Empfehlungscode eingeben</v>
      </c>
      <c r="J44" s="4" t="str">
        <f>IFERROR(__xludf.DUMMYFUNCTION("GOOGLETRANSLATE(B44,""en"",""ko"")"),"추천 코드를 입력하세요")</f>
        <v>추천 코드를 입력하세요</v>
      </c>
      <c r="K44" s="4" t="str">
        <f>IFERROR(__xludf.DUMMYFUNCTION("GOOGLETRANSLATE(B44,""en"",""zh"")"),"输入推荐码")</f>
        <v>输入推荐码</v>
      </c>
      <c r="L44" s="4" t="str">
        <f>IFERROR(__xludf.DUMMYFUNCTION("GOOGLETRANSLATE(B44,""en"",""es"")"),"Introduzca el código de referencia")</f>
        <v>Introduzca el código de referencia</v>
      </c>
      <c r="M44" s="4" t="str">
        <f>IFERROR(__xludf.DUMMYFUNCTION("GOOGLETRANSLATE(B44,""en"",""iw"")"),"הזן קוד הפניה")</f>
        <v>הזן קוד הפניה</v>
      </c>
      <c r="N44" s="4" t="str">
        <f>IFERROR(__xludf.DUMMYFUNCTION("GOOGLETRANSLATE(B44,""en"",""bn"")"),"রেফারেল কোড লিখুন")</f>
        <v>রেফারেল কোড লিখুন</v>
      </c>
      <c r="O44" s="4" t="str">
        <f>IFERROR(__xludf.DUMMYFUNCTION("GOOGLETRANSLATE(B44,""en"",""pt"")"),"Digite o código de referência")</f>
        <v>Digite o código de referência</v>
      </c>
    </row>
    <row r="45">
      <c r="A45" s="7" t="s">
        <v>136</v>
      </c>
      <c r="B45" s="3" t="s">
        <v>137</v>
      </c>
      <c r="C45" s="4" t="str">
        <f>IFERROR(__xludf.DUMMYFUNCTION("GOOGLETRANSLATE(B45,""en"",""hi"")"),"आवेदन करना")</f>
        <v>आवेदन करना</v>
      </c>
      <c r="D45" s="6" t="s">
        <v>98</v>
      </c>
      <c r="E45" s="4" t="str">
        <f>IFERROR(__xludf.DUMMYFUNCTION("GOOGLETRANSLATE(B45,""en"",""fr"")"),"Appliquer")</f>
        <v>Appliquer</v>
      </c>
      <c r="F45" s="4" t="str">
        <f>IFERROR(__xludf.DUMMYFUNCTION("GOOGLETRANSLATE(B45,""en"",""tr"")"),"Uygula")</f>
        <v>Uygula</v>
      </c>
      <c r="G45" s="4" t="str">
        <f>IFERROR(__xludf.DUMMYFUNCTION("GOOGLETRANSLATE(B45,""en"",""ru"")"),"Применять")</f>
        <v>Применять</v>
      </c>
      <c r="H45" s="4" t="str">
        <f>IFERROR(__xludf.DUMMYFUNCTION("GOOGLETRANSLATE(B45,""en"",""it"")"),"Fare domanda a")</f>
        <v>Fare domanda a</v>
      </c>
      <c r="I45" s="4" t="str">
        <f>IFERROR(__xludf.DUMMYFUNCTION("GOOGLETRANSLATE(B45,""en"",""de"")"),"Anwenden")</f>
        <v>Anwenden</v>
      </c>
      <c r="J45" s="4" t="str">
        <f>IFERROR(__xludf.DUMMYFUNCTION("GOOGLETRANSLATE(B45,""en"",""ko"")"),"적용하다")</f>
        <v>적용하다</v>
      </c>
      <c r="K45" s="4" t="str">
        <f>IFERROR(__xludf.DUMMYFUNCTION("GOOGLETRANSLATE(B45,""en"",""zh"")"),"申请")</f>
        <v>申请</v>
      </c>
      <c r="L45" s="4" t="str">
        <f>IFERROR(__xludf.DUMMYFUNCTION("GOOGLETRANSLATE(B45,""en"",""es"")"),"Aplicar")</f>
        <v>Aplicar</v>
      </c>
      <c r="M45" s="4" t="str">
        <f>IFERROR(__xludf.DUMMYFUNCTION("GOOGLETRANSLATE(B45,""en"",""iw"")"),"לִפְנוֹת")</f>
        <v>לִפְנוֹת</v>
      </c>
      <c r="N45" s="4" t="str">
        <f>IFERROR(__xludf.DUMMYFUNCTION("GOOGLETRANSLATE(B45,""en"",""bn"")"),"আবেদন করুন")</f>
        <v>আবেদন করুন</v>
      </c>
      <c r="O45" s="4" t="str">
        <f>IFERROR(__xludf.DUMMYFUNCTION("GOOGLETRANSLATE(B45,""en"",""pt"")"),"Aplicar")</f>
        <v>Aplicar</v>
      </c>
    </row>
    <row r="46">
      <c r="A46" s="7" t="s">
        <v>138</v>
      </c>
      <c r="B46" s="3" t="s">
        <v>139</v>
      </c>
      <c r="C46" s="4" t="str">
        <f>IFERROR(__xludf.DUMMYFUNCTION("GOOGLETRANSLATE(B46,""en"",""hi"")"),"दस्तावेज़ प्रबंधित करें")</f>
        <v>दस्तावेज़ प्रबंधित करें</v>
      </c>
      <c r="D46" s="6" t="s">
        <v>140</v>
      </c>
      <c r="E46" s="4" t="str">
        <f>IFERROR(__xludf.DUMMYFUNCTION("GOOGLETRANSLATE(B46,""en"",""fr"")"),"Gérer les documents")</f>
        <v>Gérer les documents</v>
      </c>
      <c r="F46" s="4" t="str">
        <f>IFERROR(__xludf.DUMMYFUNCTION("GOOGLETRANSLATE(B46,""en"",""tr"")"),"Belgeleri Yönet")</f>
        <v>Belgeleri Yönet</v>
      </c>
      <c r="G46" s="4" t="str">
        <f>IFERROR(__xludf.DUMMYFUNCTION("GOOGLETRANSLATE(B46,""en"",""ru"")"),"Управление документами")</f>
        <v>Управление документами</v>
      </c>
      <c r="H46" s="4" t="str">
        <f>IFERROR(__xludf.DUMMYFUNCTION("GOOGLETRANSLATE(B46,""en"",""it"")"),"Gestisci documenti")</f>
        <v>Gestisci documenti</v>
      </c>
      <c r="I46" s="4" t="str">
        <f>IFERROR(__xludf.DUMMYFUNCTION("GOOGLETRANSLATE(B46,""en"",""de"")"),"Dokumente verwalten")</f>
        <v>Dokumente verwalten</v>
      </c>
      <c r="J46" s="4" t="str">
        <f>IFERROR(__xludf.DUMMYFUNCTION("GOOGLETRANSLATE(B46,""en"",""ko"")"),"문서 관리")</f>
        <v>문서 관리</v>
      </c>
      <c r="K46" s="4" t="str">
        <f>IFERROR(__xludf.DUMMYFUNCTION("GOOGLETRANSLATE(B46,""en"",""zh"")"),"管理文档")</f>
        <v>管理文档</v>
      </c>
      <c r="L46" s="4" t="str">
        <f>IFERROR(__xludf.DUMMYFUNCTION("GOOGLETRANSLATE(B46,""en"",""es"")"),"Administrar documentos")</f>
        <v>Administrar documentos</v>
      </c>
      <c r="M46" s="4" t="str">
        <f>IFERROR(__xludf.DUMMYFUNCTION("GOOGLETRANSLATE(B46,""en"",""iw"")"),"ניהול מסמכים")</f>
        <v>ניהול מסמכים</v>
      </c>
      <c r="N46" s="4" t="str">
        <f>IFERROR(__xludf.DUMMYFUNCTION("GOOGLETRANSLATE(B46,""en"",""bn"")"),"নথি পরিচালনা করুন")</f>
        <v>নথি পরিচালনা করুন</v>
      </c>
      <c r="O46" s="4" t="str">
        <f>IFERROR(__xludf.DUMMYFUNCTION("GOOGLETRANSLATE(B46,""en"",""pt"")"),"Gerenciar documentos")</f>
        <v>Gerenciar documentos</v>
      </c>
    </row>
    <row r="47">
      <c r="A47" s="7" t="s">
        <v>141</v>
      </c>
      <c r="B47" s="3" t="s">
        <v>142</v>
      </c>
      <c r="C47" s="4" t="str">
        <f>IFERROR(__xludf.DUMMYFUNCTION("GOOGLETRANSLATE(B47,""en"",""hi"")"),"पासपोर्ट")</f>
        <v>पासपोर्ट</v>
      </c>
      <c r="D47" s="6" t="s">
        <v>143</v>
      </c>
      <c r="E47" s="4" t="str">
        <f>IFERROR(__xludf.DUMMYFUNCTION("GOOGLETRANSLATE(B47,""en"",""fr"")"),"Passeport")</f>
        <v>Passeport</v>
      </c>
      <c r="F47" s="4" t="str">
        <f>IFERROR(__xludf.DUMMYFUNCTION("GOOGLETRANSLATE(B47,""en"",""tr"")"),"Pasaport")</f>
        <v>Pasaport</v>
      </c>
      <c r="G47" s="4" t="str">
        <f>IFERROR(__xludf.DUMMYFUNCTION("GOOGLETRANSLATE(B47,""en"",""ru"")"),"Паспорт")</f>
        <v>Паспорт</v>
      </c>
      <c r="H47" s="4" t="str">
        <f>IFERROR(__xludf.DUMMYFUNCTION("GOOGLETRANSLATE(B47,""en"",""it"")"),"Passaporto")</f>
        <v>Passaporto</v>
      </c>
      <c r="I47" s="4" t="str">
        <f>IFERROR(__xludf.DUMMYFUNCTION("GOOGLETRANSLATE(B47,""en"",""de"")"),"Reisepass")</f>
        <v>Reisepass</v>
      </c>
      <c r="J47" s="4" t="str">
        <f>IFERROR(__xludf.DUMMYFUNCTION("GOOGLETRANSLATE(B47,""en"",""ko"")"),"여권")</f>
        <v>여권</v>
      </c>
      <c r="K47" s="4" t="str">
        <f>IFERROR(__xludf.DUMMYFUNCTION("GOOGLETRANSLATE(B47,""en"",""zh"")"),"护照")</f>
        <v>护照</v>
      </c>
      <c r="L47" s="4" t="str">
        <f>IFERROR(__xludf.DUMMYFUNCTION("GOOGLETRANSLATE(B47,""en"",""es"")"),"Pasaporte")</f>
        <v>Pasaporte</v>
      </c>
      <c r="M47" s="4" t="str">
        <f>IFERROR(__xludf.DUMMYFUNCTION("GOOGLETRANSLATE(B47,""en"",""iw"")"),"דַרכּוֹן")</f>
        <v>דַרכּוֹן</v>
      </c>
      <c r="N47" s="4" t="str">
        <f>IFERROR(__xludf.DUMMYFUNCTION("GOOGLETRANSLATE(B47,""en"",""bn"")"),"পাসপোর্ট")</f>
        <v>পাসপোর্ট</v>
      </c>
      <c r="O47" s="4" t="str">
        <f>IFERROR(__xludf.DUMMYFUNCTION("GOOGLETRANSLATE(B47,""en"",""pt"")"),"Passaporte")</f>
        <v>Passaporte</v>
      </c>
    </row>
    <row r="48">
      <c r="A48" s="7" t="s">
        <v>144</v>
      </c>
      <c r="B48" s="3" t="s">
        <v>145</v>
      </c>
      <c r="C48" s="4" t="str">
        <f>IFERROR(__xludf.DUMMYFUNCTION("GOOGLETRANSLATE(B48,""en"",""hi"")"),"अपलोड नहीं किया गया")</f>
        <v>अपलोड नहीं किया गया</v>
      </c>
      <c r="D48" s="6" t="s">
        <v>146</v>
      </c>
      <c r="E48" s="4" t="str">
        <f>IFERROR(__xludf.DUMMYFUNCTION("GOOGLETRANSLATE(B48,""en"",""fr"")"),"Non téléchargé")</f>
        <v>Non téléchargé</v>
      </c>
      <c r="F48" s="4" t="str">
        <f>IFERROR(__xludf.DUMMYFUNCTION("GOOGLETRANSLATE(B48,""en"",""tr"")"),"Yüklenmedi")</f>
        <v>Yüklenmedi</v>
      </c>
      <c r="G48" s="4" t="str">
        <f>IFERROR(__xludf.DUMMYFUNCTION("GOOGLETRANSLATE(B48,""en"",""ru"")"),"Не загружено")</f>
        <v>Не загружено</v>
      </c>
      <c r="H48" s="4" t="str">
        <f>IFERROR(__xludf.DUMMYFUNCTION("GOOGLETRANSLATE(B48,""en"",""it"")"),"Non caricato")</f>
        <v>Non caricato</v>
      </c>
      <c r="I48" s="4" t="str">
        <f>IFERROR(__xludf.DUMMYFUNCTION("GOOGLETRANSLATE(B48,""en"",""de"")"),"Nicht hochgeladen")</f>
        <v>Nicht hochgeladen</v>
      </c>
      <c r="J48" s="4" t="str">
        <f>IFERROR(__xludf.DUMMYFUNCTION("GOOGLETRANSLATE(B48,""en"",""ko"")"),"업로드되지 않음")</f>
        <v>업로드되지 않음</v>
      </c>
      <c r="K48" s="4" t="str">
        <f>IFERROR(__xludf.DUMMYFUNCTION("GOOGLETRANSLATE(B48,""en"",""zh"")"),"未上传")</f>
        <v>未上传</v>
      </c>
      <c r="L48" s="4" t="str">
        <f>IFERROR(__xludf.DUMMYFUNCTION("GOOGLETRANSLATE(B48,""en"",""es"")"),"No subido")</f>
        <v>No subido</v>
      </c>
      <c r="M48" s="4" t="str">
        <f>IFERROR(__xludf.DUMMYFUNCTION("GOOGLETRANSLATE(B48,""en"",""iw"")"),"לא הועלה")</f>
        <v>לא הועלה</v>
      </c>
      <c r="N48" s="4" t="str">
        <f>IFERROR(__xludf.DUMMYFUNCTION("GOOGLETRANSLATE(B48,""en"",""bn"")"),"আপলোড করা হয়নি")</f>
        <v>আপলোড করা হয়নি</v>
      </c>
      <c r="O48" s="4" t="str">
        <f>IFERROR(__xludf.DUMMYFUNCTION("GOOGLETRANSLATE(B48,""en"",""pt"")"),"Não carregado")</f>
        <v>Não carregado</v>
      </c>
    </row>
    <row r="49">
      <c r="A49" s="7" t="s">
        <v>147</v>
      </c>
      <c r="B49" s="3" t="s">
        <v>148</v>
      </c>
      <c r="C49" s="4" t="str">
        <f>IFERROR(__xludf.DUMMYFUNCTION("GOOGLETRANSLATE(B49,""en"",""hi"")"),"अपलोड किए गए")</f>
        <v>अपलोड किए गए</v>
      </c>
      <c r="D49" s="6" t="s">
        <v>149</v>
      </c>
      <c r="E49" s="4" t="str">
        <f>IFERROR(__xludf.DUMMYFUNCTION("GOOGLETRANSLATE(B49,""en"",""fr"")"),"Téléchargé")</f>
        <v>Téléchargé</v>
      </c>
      <c r="F49" s="4" t="str">
        <f>IFERROR(__xludf.DUMMYFUNCTION("GOOGLETRANSLATE(B49,""en"",""tr"")"),"Yüklendi")</f>
        <v>Yüklendi</v>
      </c>
      <c r="G49" s="4" t="str">
        <f>IFERROR(__xludf.DUMMYFUNCTION("GOOGLETRANSLATE(B49,""en"",""ru"")"),"Загружено")</f>
        <v>Загружено</v>
      </c>
      <c r="H49" s="4" t="str">
        <f>IFERROR(__xludf.DUMMYFUNCTION("GOOGLETRANSLATE(B49,""en"",""it"")"),"Caricato")</f>
        <v>Caricato</v>
      </c>
      <c r="I49" s="4" t="str">
        <f>IFERROR(__xludf.DUMMYFUNCTION("GOOGLETRANSLATE(B49,""en"",""de"")"),"Hochgeladen")</f>
        <v>Hochgeladen</v>
      </c>
      <c r="J49" s="4" t="str">
        <f>IFERROR(__xludf.DUMMYFUNCTION("GOOGLETRANSLATE(B49,""en"",""ko"")"),"업로드됨")</f>
        <v>업로드됨</v>
      </c>
      <c r="K49" s="4" t="str">
        <f>IFERROR(__xludf.DUMMYFUNCTION("GOOGLETRANSLATE(B49,""en"",""zh"")"),"已上传")</f>
        <v>已上传</v>
      </c>
      <c r="L49" s="4" t="str">
        <f>IFERROR(__xludf.DUMMYFUNCTION("GOOGLETRANSLATE(B49,""en"",""es"")"),"Subido")</f>
        <v>Subido</v>
      </c>
      <c r="M49" s="4" t="str">
        <f>IFERROR(__xludf.DUMMYFUNCTION("GOOGLETRANSLATE(B49,""en"",""iw"")"),"הועלה")</f>
        <v>הועלה</v>
      </c>
      <c r="N49" s="4" t="str">
        <f>IFERROR(__xludf.DUMMYFUNCTION("GOOGLETRANSLATE(B49,""en"",""bn"")"),"আপলোড করা হয়েছে")</f>
        <v>আপলোড করা হয়েছে</v>
      </c>
      <c r="O49" s="4" t="str">
        <f>IFERROR(__xludf.DUMMYFUNCTION("GOOGLETRANSLATE(B49,""en"",""pt"")"),"Enviado")</f>
        <v>Enviado</v>
      </c>
    </row>
    <row r="50">
      <c r="A50" s="7" t="s">
        <v>150</v>
      </c>
      <c r="B50" s="3" t="s">
        <v>151</v>
      </c>
      <c r="C50" s="4" t="str">
        <f>IFERROR(__xludf.DUMMYFUNCTION("GOOGLETRANSLATE(B50,""en"",""hi"")"),"अपलोड करें")</f>
        <v>अपलोड करें</v>
      </c>
      <c r="D50" s="6" t="s">
        <v>152</v>
      </c>
      <c r="E50" s="4" t="str">
        <f>IFERROR(__xludf.DUMMYFUNCTION("GOOGLETRANSLATE(B50,""en"",""fr"")"),"Télécharger")</f>
        <v>Télécharger</v>
      </c>
      <c r="F50" s="4" t="str">
        <f>IFERROR(__xludf.DUMMYFUNCTION("GOOGLETRANSLATE(B50,""en"",""tr"")"),"Yüklemek")</f>
        <v>Yüklemek</v>
      </c>
      <c r="G50" s="4" t="str">
        <f>IFERROR(__xludf.DUMMYFUNCTION("GOOGLETRANSLATE(B50,""en"",""ru"")"),"Загрузить")</f>
        <v>Загрузить</v>
      </c>
      <c r="H50" s="4" t="str">
        <f>IFERROR(__xludf.DUMMYFUNCTION("GOOGLETRANSLATE(B50,""en"",""it"")"),"Caricamento")</f>
        <v>Caricamento</v>
      </c>
      <c r="I50" s="4" t="str">
        <f>IFERROR(__xludf.DUMMYFUNCTION("GOOGLETRANSLATE(B50,""en"",""de"")"),"Hochladen")</f>
        <v>Hochladen</v>
      </c>
      <c r="J50" s="4" t="str">
        <f>IFERROR(__xludf.DUMMYFUNCTION("GOOGLETRANSLATE(B50,""en"",""ko"")"),"업로드")</f>
        <v>업로드</v>
      </c>
      <c r="K50" s="4" t="str">
        <f>IFERROR(__xludf.DUMMYFUNCTION("GOOGLETRANSLATE(B50,""en"",""zh"")"),"上传")</f>
        <v>上传</v>
      </c>
      <c r="L50" s="4" t="str">
        <f>IFERROR(__xludf.DUMMYFUNCTION("GOOGLETRANSLATE(B50,""en"",""es"")"),"Subir")</f>
        <v>Subir</v>
      </c>
      <c r="M50" s="4" t="str">
        <f>IFERROR(__xludf.DUMMYFUNCTION("GOOGLETRANSLATE(B50,""en"",""iw"")"),"העלה")</f>
        <v>העלה</v>
      </c>
      <c r="N50" s="4" t="str">
        <f>IFERROR(__xludf.DUMMYFUNCTION("GOOGLETRANSLATE(B50,""en"",""bn"")"),"আপলোড করুন")</f>
        <v>আপলোড করুন</v>
      </c>
      <c r="O50" s="4" t="str">
        <f>IFERROR(__xludf.DUMMYFUNCTION("GOOGLETRANSLATE(B50,""en"",""pt"")"),"Carregar")</f>
        <v>Carregar</v>
      </c>
    </row>
    <row r="51">
      <c r="A51" s="7" t="s">
        <v>153</v>
      </c>
      <c r="B51" s="3" t="s">
        <v>154</v>
      </c>
      <c r="C51" s="4" t="str">
        <f>IFERROR(__xludf.DUMMYFUNCTION("GOOGLETRANSLATE(B51,""en"",""hi"")"),"सत्यापन लंबित")</f>
        <v>सत्यापन लंबित</v>
      </c>
      <c r="D51" s="6" t="s">
        <v>155</v>
      </c>
      <c r="E51" s="4" t="str">
        <f>IFERROR(__xludf.DUMMYFUNCTION("GOOGLETRANSLATE(B51,""en"",""fr"")"),"Vérification en attente")</f>
        <v>Vérification en attente</v>
      </c>
      <c r="F51" s="4" t="str">
        <f>IFERROR(__xludf.DUMMYFUNCTION("GOOGLETRANSLATE(B51,""en"",""tr"")"),"Doğrulama Bekleniyor")</f>
        <v>Doğrulama Bekleniyor</v>
      </c>
      <c r="G51" s="4" t="str">
        <f>IFERROR(__xludf.DUMMYFUNCTION("GOOGLETRANSLATE(B51,""en"",""ru"")"),"Ожидается проверка")</f>
        <v>Ожидается проверка</v>
      </c>
      <c r="H51" s="4" t="str">
        <f>IFERROR(__xludf.DUMMYFUNCTION("GOOGLETRANSLATE(B51,""en"",""it"")"),"Verifica in sospeso")</f>
        <v>Verifica in sospeso</v>
      </c>
      <c r="I51" s="4" t="str">
        <f>IFERROR(__xludf.DUMMYFUNCTION("GOOGLETRANSLATE(B51,""en"",""de"")"),"Überprüfung ausstehend")</f>
        <v>Überprüfung ausstehend</v>
      </c>
      <c r="J51" s="4" t="str">
        <f>IFERROR(__xludf.DUMMYFUNCTION("GOOGLETRANSLATE(B51,""en"",""ko"")"),"검증 보류 중")</f>
        <v>검증 보류 중</v>
      </c>
      <c r="K51" s="4" t="str">
        <f>IFERROR(__xludf.DUMMYFUNCTION("GOOGLETRANSLATE(B51,""en"",""zh"")"),"待验证")</f>
        <v>待验证</v>
      </c>
      <c r="L51" s="4" t="str">
        <f>IFERROR(__xludf.DUMMYFUNCTION("GOOGLETRANSLATE(B51,""en"",""es"")"),"Verificación pendiente")</f>
        <v>Verificación pendiente</v>
      </c>
      <c r="M51" s="4" t="str">
        <f>IFERROR(__xludf.DUMMYFUNCTION("GOOGLETRANSLATE(B51,""en"",""iw"")"),"ממתין לאימות")</f>
        <v>ממתין לאימות</v>
      </c>
      <c r="N51" s="4" t="str">
        <f>IFERROR(__xludf.DUMMYFUNCTION("GOOGLETRANSLATE(B51,""en"",""bn"")"),"যাচাইকরণ মুলতুবি")</f>
        <v>যাচাইকরণ মুলতুবি</v>
      </c>
      <c r="O51" s="4" t="str">
        <f>IFERROR(__xludf.DUMMYFUNCTION("GOOGLETRANSLATE(B51,""en"",""pt"")"),"Verificação pendente")</f>
        <v>Verificação pendente</v>
      </c>
    </row>
    <row r="52">
      <c r="A52" s="7" t="s">
        <v>156</v>
      </c>
      <c r="B52" s="3" t="s">
        <v>157</v>
      </c>
      <c r="C52" s="4" t="str">
        <f>IFERROR(__xludf.DUMMYFUNCTION("GOOGLETRANSLATE(B52,""en"",""hi"")"),"आपका दस्तावेज़ अभी भी सत्यापन के लिए लंबित है। एक बार यह सब सत्यापित हो जाने के बाद, आपको यात्राएँ मिलनी शुरू हो जाएँगी। कृपया धैर्य रखें।")</f>
        <v>आपका दस्तावेज़ अभी भी सत्यापन के लिए लंबित है। एक बार यह सब सत्यापित हो जाने के बाद, आपको यात्राएँ मिलनी शुरू हो जाएँगी। कृपया धैर्य रखें।</v>
      </c>
      <c r="D52" s="6" t="s">
        <v>158</v>
      </c>
      <c r="E52" s="4" t="str">
        <f>IFERROR(__xludf.DUMMYFUNCTION("GOOGLETRANSLATE(B52,""en"",""fr"")"),"Votre document est toujours en attente de vérification. Une fois vérifié, vous pourrez commencer à obtenir des trajets. Veuillez patienter.")</f>
        <v>Votre document est toujours en attente de vérification. Une fois vérifié, vous pourrez commencer à obtenir des trajets. Veuillez patienter.</v>
      </c>
      <c r="F52" s="4" t="str">
        <f>IFERROR(__xludf.DUMMYFUNCTION("GOOGLETRANSLATE(B52,""en"",""tr"")"),"Belgeniz hala doğrulanmayı bekliyor. Her şey doğrulandıktan sonra yolculuklarınız başlayacak. Lütfen sabırlı olun.")</f>
        <v>Belgeniz hala doğrulanmayı bekliyor. Her şey doğrulandıktan sonra yolculuklarınız başlayacak. Lütfen sabırlı olun.</v>
      </c>
      <c r="G52" s="4" t="str">
        <f>IFERROR(__xludf.DUMMYFUNCTION("GOOGLETRANSLATE(B52,""en"",""ru"")"),"Ваш документ всё ещё ожидает проверки. Как только всё будет проверено, вы начнёте получать поездки. Пожалуйста, подождите.")</f>
        <v>Ваш документ всё ещё ожидает проверки. Как только всё будет проверено, вы начнёте получать поездки. Пожалуйста, подождите.</v>
      </c>
      <c r="H52" s="4" t="str">
        <f>IFERROR(__xludf.DUMMYFUNCTION("GOOGLETRANSLATE(B52,""en"",""it"")"),"Il tuo documento è ancora in attesa di verifica. Una volta verificato, potrai iniziare a ricevere corse. Non preoccuparti.")</f>
        <v>Il tuo documento è ancora in attesa di verifica. Una volta verificato, potrai iniziare a ricevere corse. Non preoccuparti.</v>
      </c>
      <c r="I52" s="4" t="str">
        <f>IFERROR(__xludf.DUMMYFUNCTION("GOOGLETRANSLATE(B52,""en"",""de"")"),"Ihr Dokument muss noch überprüft werden. Sobald alles überprüft ist, können Sie Fahrten buchen. Bitte warten Sie.")</f>
        <v>Ihr Dokument muss noch überprüft werden. Sobald alles überprüft ist, können Sie Fahrten buchen. Bitte warten Sie.</v>
      </c>
      <c r="J52" s="4" t="str">
        <f>IFERROR(__xludf.DUMMYFUNCTION("GOOGLETRANSLATE(B52,""en"",""ko"")"),"서류가 아직 검증 대기 중입니다. 모든 서류가 검증되면 바로 탑승이 시작됩니다. 잠시만 기다려 주세요.")</f>
        <v>서류가 아직 검증 대기 중입니다. 모든 서류가 검증되면 바로 탑승이 시작됩니다. 잠시만 기다려 주세요.</v>
      </c>
      <c r="K52" s="4" t="str">
        <f>IFERROR(__xludf.DUMMYFUNCTION("GOOGLETRANSLATE(B52,""en"",""zh"")"),"您的证件仍在等待验证。验证完成后，您就可以乘车了。请耐心等待")</f>
        <v>您的证件仍在等待验证。验证完成后，您就可以乘车了。请耐心等待</v>
      </c>
      <c r="L52" s="4" t="str">
        <f>IFERROR(__xludf.DUMMYFUNCTION("GOOGLETRANSLATE(B52,""en"",""es"")"),"Tu documento aún está pendiente de verificación. Una vez verificado, empezarás a recibir viajes. Por favor, espera.")</f>
        <v>Tu documento aún está pendiente de verificación. Una vez verificado, empezarás a recibir viajes. Por favor, espera.</v>
      </c>
      <c r="M52" s="4" t="str">
        <f>IFERROR(__xludf.DUMMYFUNCTION("GOOGLETRANSLATE(B52,""en"",""iw"")"),"המסמך שלך עדיין ממתין לאימות. לאחר שהכל אומת אתה מתחיל לקבל נסיעות. בבקשה שב חזק")</f>
        <v>המסמך שלך עדיין ממתין לאימות. לאחר שהכל אומת אתה מתחיל לקבל נסיעות. בבקשה שב חזק</v>
      </c>
      <c r="N52" s="4" t="str">
        <f>IFERROR(__xludf.DUMMYFUNCTION("GOOGLETRANSLATE(B52,""en"",""bn"")"),"আপনার নথি যাচাইকরণের জন্য এখনও মুলতুবি আছে. একবার সব যাচাই হয়ে গেলে আপনি রাইড পেতে শুরু করবেন। অনুগ্রহ করে শক্ত হয়ে বসুন")</f>
        <v>আপনার নথি যাচাইকরণের জন্য এখনও মুলতুবি আছে. একবার সব যাচাই হয়ে গেলে আপনি রাইড পেতে শুরু করবেন। অনুগ্রহ করে শক্ত হয়ে বসুন</v>
      </c>
      <c r="O52" s="4" t="str">
        <f>IFERROR(__xludf.DUMMYFUNCTION("GOOGLETRANSLATE(B52,""en"",""pt"")"),"Seu documento ainda está pendente de verificação. Assim que tudo estiver verificado, você começará a receber viagens. Aguarde.")</f>
        <v>Seu documento ainda está pendente de verificação. Assim que tudo estiver verificado, você começará a receber viagens. Aguarde.</v>
      </c>
    </row>
    <row r="53">
      <c r="A53" s="7" t="s">
        <v>159</v>
      </c>
      <c r="B53" s="3" t="s">
        <v>160</v>
      </c>
      <c r="C53" s="4" t="str">
        <f>IFERROR(__xludf.DUMMYFUNCTION("GOOGLETRANSLATE(B53,""en"",""hi"")"),"दस्तावेज़ अपलोड करें")</f>
        <v>दस्तावेज़ अपलोड करें</v>
      </c>
      <c r="D53" s="6" t="s">
        <v>161</v>
      </c>
      <c r="E53" s="4" t="str">
        <f>IFERROR(__xludf.DUMMYFUNCTION("GOOGLETRANSLATE(B53,""en"",""fr"")"),"Télécharger des documents")</f>
        <v>Télécharger des documents</v>
      </c>
      <c r="F53" s="4" t="str">
        <f>IFERROR(__xludf.DUMMYFUNCTION("GOOGLETRANSLATE(B53,""en"",""tr"")"),"Belgeleri Yükle")</f>
        <v>Belgeleri Yükle</v>
      </c>
      <c r="G53" s="4" t="str">
        <f>IFERROR(__xludf.DUMMYFUNCTION("GOOGLETRANSLATE(B53,""en"",""ru"")"),"Загрузить документы")</f>
        <v>Загрузить документы</v>
      </c>
      <c r="H53" s="4" t="str">
        <f>IFERROR(__xludf.DUMMYFUNCTION("GOOGLETRANSLATE(B53,""en"",""it"")"),"Carica documenti")</f>
        <v>Carica documenti</v>
      </c>
      <c r="I53" s="4" t="str">
        <f>IFERROR(__xludf.DUMMYFUNCTION("GOOGLETRANSLATE(B53,""en"",""de"")"),"Dokumente hochladen")</f>
        <v>Dokumente hochladen</v>
      </c>
      <c r="J53" s="4" t="str">
        <f>IFERROR(__xludf.DUMMYFUNCTION("GOOGLETRANSLATE(B53,""en"",""ko"")"),"문서 업로드")</f>
        <v>문서 업로드</v>
      </c>
      <c r="K53" s="4" t="str">
        <f>IFERROR(__xludf.DUMMYFUNCTION("GOOGLETRANSLATE(B53,""en"",""zh"")"),"上传文件")</f>
        <v>上传文件</v>
      </c>
      <c r="L53" s="4" t="str">
        <f>IFERROR(__xludf.DUMMYFUNCTION("GOOGLETRANSLATE(B53,""en"",""es"")"),"Subir documentos")</f>
        <v>Subir documentos</v>
      </c>
      <c r="M53" s="4" t="str">
        <f>IFERROR(__xludf.DUMMYFUNCTION("GOOGLETRANSLATE(B53,""en"",""iw"")"),"העלה מסמכים")</f>
        <v>העלה מסמכים</v>
      </c>
      <c r="N53" s="4" t="str">
        <f>IFERROR(__xludf.DUMMYFUNCTION("GOOGLETRANSLATE(B53,""en"",""bn"")"),"নথি আপলোড করুন")</f>
        <v>নথি আপলোড করুন</v>
      </c>
      <c r="O53" s="4" t="str">
        <f>IFERROR(__xludf.DUMMYFUNCTION("GOOGLETRANSLATE(B53,""en"",""pt"")"),"Carregar documentos")</f>
        <v>Carregar documentos</v>
      </c>
    </row>
    <row r="54">
      <c r="A54" s="7" t="s">
        <v>162</v>
      </c>
      <c r="B54" s="3" t="s">
        <v>163</v>
      </c>
      <c r="C54" s="4" t="str">
        <f>IFERROR(__xludf.DUMMYFUNCTION("GOOGLETRANSLATE(B54,""en"",""hi"")"),"भाषा चुनें")</f>
        <v>भाषा चुनें</v>
      </c>
      <c r="D54" s="6" t="s">
        <v>164</v>
      </c>
      <c r="E54" s="4" t="str">
        <f>IFERROR(__xludf.DUMMYFUNCTION("GOOGLETRANSLATE(B54,""en"",""fr"")"),"Choisir la langue")</f>
        <v>Choisir la langue</v>
      </c>
      <c r="F54" s="4" t="str">
        <f>IFERROR(__xludf.DUMMYFUNCTION("GOOGLETRANSLATE(B54,""en"",""tr"")"),"Dil Seçin")</f>
        <v>Dil Seçin</v>
      </c>
      <c r="G54" s="4" t="str">
        <f>IFERROR(__xludf.DUMMYFUNCTION("GOOGLETRANSLATE(B54,""en"",""ru"")"),"Выберите язык")</f>
        <v>Выберите язык</v>
      </c>
      <c r="H54" s="4" t="str">
        <f>IFERROR(__xludf.DUMMYFUNCTION("GOOGLETRANSLATE(B54,""en"",""it"")"),"Scegli la lingua")</f>
        <v>Scegli la lingua</v>
      </c>
      <c r="I54" s="4" t="str">
        <f>IFERROR(__xludf.DUMMYFUNCTION("GOOGLETRANSLATE(B54,""en"",""de"")"),"Sprache auswählen")</f>
        <v>Sprache auswählen</v>
      </c>
      <c r="J54" s="4" t="str">
        <f>IFERROR(__xludf.DUMMYFUNCTION("GOOGLETRANSLATE(B54,""en"",""ko"")"),"언어 선택")</f>
        <v>언어 선택</v>
      </c>
      <c r="K54" s="4" t="str">
        <f>IFERROR(__xludf.DUMMYFUNCTION("GOOGLETRANSLATE(B54,""en"",""zh"")"),"选择语言")</f>
        <v>选择语言</v>
      </c>
      <c r="L54" s="4" t="str">
        <f>IFERROR(__xludf.DUMMYFUNCTION("GOOGLETRANSLATE(B54,""en"",""es"")"),"Elija el idioma")</f>
        <v>Elija el idioma</v>
      </c>
      <c r="M54" s="4" t="str">
        <f>IFERROR(__xludf.DUMMYFUNCTION("GOOGLETRANSLATE(B54,""en"",""iw"")"),"בחר שפה")</f>
        <v>בחר שפה</v>
      </c>
      <c r="N54" s="4" t="str">
        <f>IFERROR(__xludf.DUMMYFUNCTION("GOOGLETRANSLATE(B54,""en"",""bn"")"),"ভাষা নির্বাচন করুন")</f>
        <v>ভাষা নির্বাচন করুন</v>
      </c>
      <c r="O54" s="4" t="str">
        <f>IFERROR(__xludf.DUMMYFUNCTION("GOOGLETRANSLATE(B54,""en"",""pt"")"),"Escolha o idioma")</f>
        <v>Escolha o idioma</v>
      </c>
    </row>
    <row r="55">
      <c r="A55" s="7" t="s">
        <v>165</v>
      </c>
      <c r="B55" s="3" t="s">
        <v>166</v>
      </c>
      <c r="C55" s="4" t="str">
        <f>IFERROR(__xludf.DUMMYFUNCTION("GOOGLETRANSLATE(B55,""en"",""hi"")"),"अपना वाहन मॉडल वर्ष दर्ज करें")</f>
        <v>अपना वाहन मॉडल वर्ष दर्ज करें</v>
      </c>
      <c r="D55" s="6" t="s">
        <v>167</v>
      </c>
      <c r="E55" s="4" t="str">
        <f>IFERROR(__xludf.DUMMYFUNCTION("GOOGLETRANSLATE(B55,""en"",""fr"")"),"Entrez l'année du modèle de votre véhicule")</f>
        <v>Entrez l'année du modèle de votre véhicule</v>
      </c>
      <c r="F55" s="4" t="str">
        <f>IFERROR(__xludf.DUMMYFUNCTION("GOOGLETRANSLATE(B55,""en"",""tr"")"),"Araç Model Yılınızı Girin")</f>
        <v>Araç Model Yılınızı Girin</v>
      </c>
      <c r="G55" s="4" t="str">
        <f>IFERROR(__xludf.DUMMYFUNCTION("GOOGLETRANSLATE(B55,""en"",""ru"")"),"Введите год выпуска вашего автомобиля")</f>
        <v>Введите год выпуска вашего автомобиля</v>
      </c>
      <c r="H55" s="4" t="str">
        <f>IFERROR(__xludf.DUMMYFUNCTION("GOOGLETRANSLATE(B55,""en"",""it"")"),"Inserisci l'anno del modello del tuo veicolo")</f>
        <v>Inserisci l'anno del modello del tuo veicolo</v>
      </c>
      <c r="I55" s="4" t="str">
        <f>IFERROR(__xludf.DUMMYFUNCTION("GOOGLETRANSLATE(B55,""en"",""de"")"),"Geben Sie das Modelljahr Ihres Fahrzeugs ein")</f>
        <v>Geben Sie das Modelljahr Ihres Fahrzeugs ein</v>
      </c>
      <c r="J55" s="4" t="str">
        <f>IFERROR(__xludf.DUMMYFUNCTION("GOOGLETRANSLATE(B55,""en"",""ko"")"),"차량 모델 연도를 입력하세요")</f>
        <v>차량 모델 연도를 입력하세요</v>
      </c>
      <c r="K55" s="4" t="str">
        <f>IFERROR(__xludf.DUMMYFUNCTION("GOOGLETRANSLATE(B55,""en"",""zh"")"),"输入您的车辆型号年份")</f>
        <v>输入您的车辆型号年份</v>
      </c>
      <c r="L55" s="4" t="str">
        <f>IFERROR(__xludf.DUMMYFUNCTION("GOOGLETRANSLATE(B55,""en"",""es"")"),"Ingrese el año del modelo de su vehículo")</f>
        <v>Ingrese el año del modelo de su vehículo</v>
      </c>
      <c r="M55" s="4" t="str">
        <f>IFERROR(__xludf.DUMMYFUNCTION("GOOGLETRANSLATE(B55,""en"",""iw"")"),"הזן את שנת דגם הרכב שלך")</f>
        <v>הזן את שנת דגם הרכב שלך</v>
      </c>
      <c r="N55" s="4" t="str">
        <f>IFERROR(__xludf.DUMMYFUNCTION("GOOGLETRANSLATE(B55,""en"",""bn"")"),"আপনার যানবাহনের মডেল বছর লিখুন")</f>
        <v>আপনার যানবাহনের মডেল বছর লিখুন</v>
      </c>
      <c r="O55" s="4" t="str">
        <f>IFERROR(__xludf.DUMMYFUNCTION("GOOGLETRANSLATE(B55,""en"",""pt"")"),"Digite o ano do modelo do seu veículo")</f>
        <v>Digite o ano do modelo do seu veículo</v>
      </c>
    </row>
    <row r="56">
      <c r="A56" s="7" t="s">
        <v>168</v>
      </c>
      <c r="B56" s="3" t="s">
        <v>169</v>
      </c>
      <c r="C56" s="4" t="str">
        <f>IFERROR(__xludf.DUMMYFUNCTION("GOOGLETRANSLATE(B56,""en"",""hi"")"),"अपने वाहन का रंग दर्ज करें")</f>
        <v>अपने वाहन का रंग दर्ज करें</v>
      </c>
      <c r="D56" s="6" t="s">
        <v>170</v>
      </c>
      <c r="E56" s="4" t="str">
        <f>IFERROR(__xludf.DUMMYFUNCTION("GOOGLETRANSLATE(B56,""en"",""fr"")"),"Entrez la couleur de votre véhicule")</f>
        <v>Entrez la couleur de votre véhicule</v>
      </c>
      <c r="F56" s="4" t="str">
        <f>IFERROR(__xludf.DUMMYFUNCTION("GOOGLETRANSLATE(B56,""en"",""tr"")"),"Araç Renginizi Girin")</f>
        <v>Araç Renginizi Girin</v>
      </c>
      <c r="G56" s="4" t="str">
        <f>IFERROR(__xludf.DUMMYFUNCTION("GOOGLETRANSLATE(B56,""en"",""ru"")"),"Введите цвет вашего автомобиля")</f>
        <v>Введите цвет вашего автомобиля</v>
      </c>
      <c r="H56" s="4" t="str">
        <f>IFERROR(__xludf.DUMMYFUNCTION("GOOGLETRANSLATE(B56,""en"",""it"")"),"Inserisci il colore del tuo veicolo")</f>
        <v>Inserisci il colore del tuo veicolo</v>
      </c>
      <c r="I56" s="4" t="str">
        <f>IFERROR(__xludf.DUMMYFUNCTION("GOOGLETRANSLATE(B56,""en"",""de"")"),"Geben Sie Ihre Fahrzeugfarbe ein")</f>
        <v>Geben Sie Ihre Fahrzeugfarbe ein</v>
      </c>
      <c r="J56" s="4" t="str">
        <f>IFERROR(__xludf.DUMMYFUNCTION("GOOGLETRANSLATE(B56,""en"",""ko"")"),"차량 색상을 입력하세요")</f>
        <v>차량 색상을 입력하세요</v>
      </c>
      <c r="K56" s="4" t="str">
        <f>IFERROR(__xludf.DUMMYFUNCTION("GOOGLETRANSLATE(B56,""en"",""zh"")"),"输入您的车辆颜色")</f>
        <v>输入您的车辆颜色</v>
      </c>
      <c r="L56" s="4" t="str">
        <f>IFERROR(__xludf.DUMMYFUNCTION("GOOGLETRANSLATE(B56,""en"",""es"")"),"Ingrese el color de su vehículo")</f>
        <v>Ingrese el color de su vehículo</v>
      </c>
      <c r="M56" s="4" t="str">
        <f>IFERROR(__xludf.DUMMYFUNCTION("GOOGLETRANSLATE(B56,""en"",""iw"")"),"הזן את צבע הרכב שלך")</f>
        <v>הזן את צבע הרכב שלך</v>
      </c>
      <c r="N56" s="4" t="str">
        <f>IFERROR(__xludf.DUMMYFUNCTION("GOOGLETRANSLATE(B56,""en"",""bn"")"),"আপনার গাড়ির রঙ লিখুন")</f>
        <v>আপনার গাড়ির রঙ লিখুন</v>
      </c>
      <c r="O56" s="4" t="str">
        <f>IFERROR(__xludf.DUMMYFUNCTION("GOOGLETRANSLATE(B56,""en"",""pt"")"),"Digite a cor do seu veículo")</f>
        <v>Digite a cor do seu veículo</v>
      </c>
    </row>
    <row r="57">
      <c r="A57" s="7" t="s">
        <v>171</v>
      </c>
      <c r="B57" s="3" t="s">
        <v>172</v>
      </c>
      <c r="C57" s="4" t="str">
        <f>IFERROR(__xludf.DUMMYFUNCTION("GOOGLETRANSLATE(B57,""en"",""hi"")"),"दस्तावेज़ अपडेट करें")</f>
        <v>दस्तावेज़ अपडेट करें</v>
      </c>
      <c r="D57" s="4" t="str">
        <f>IFERROR(__xludf.DUMMYFUNCTION("GOOGLETRANSLATE(B57,""en"",""ar"")"),"تحديث المستندات")</f>
        <v>تحديث المستندات</v>
      </c>
      <c r="E57" s="4" t="str">
        <f>IFERROR(__xludf.DUMMYFUNCTION("GOOGLETRANSLATE(B57,""en"",""fr"")"),"Mise à jour des documents")</f>
        <v>Mise à jour des documents</v>
      </c>
      <c r="F57" s="4" t="str">
        <f>IFERROR(__xludf.DUMMYFUNCTION("GOOGLETRANSLATE(B57,""en"",""tr"")"),"Belgeleri Güncelle")</f>
        <v>Belgeleri Güncelle</v>
      </c>
      <c r="G57" s="4" t="str">
        <f>IFERROR(__xludf.DUMMYFUNCTION("GOOGLETRANSLATE(B57,""en"",""ru"")"),"Обновление документов")</f>
        <v>Обновление документов</v>
      </c>
      <c r="H57" s="4" t="str">
        <f>IFERROR(__xludf.DUMMYFUNCTION("GOOGLETRANSLATE(B57,""en"",""it"")"),"Aggiorna documenti")</f>
        <v>Aggiorna documenti</v>
      </c>
      <c r="I57" s="4" t="str">
        <f>IFERROR(__xludf.DUMMYFUNCTION("GOOGLETRANSLATE(B57,""en"",""de"")"),"Dokumente aktualisieren")</f>
        <v>Dokumente aktualisieren</v>
      </c>
      <c r="J57" s="4" t="str">
        <f>IFERROR(__xludf.DUMMYFUNCTION("GOOGLETRANSLATE(B57,""en"",""ko"")"),"문서 업데이트")</f>
        <v>문서 업데이트</v>
      </c>
      <c r="K57" s="4" t="str">
        <f>IFERROR(__xludf.DUMMYFUNCTION("GOOGLETRANSLATE(B57,""en"",""zh"")"),"更新文档")</f>
        <v>更新文档</v>
      </c>
      <c r="L57" s="4" t="str">
        <f>IFERROR(__xludf.DUMMYFUNCTION("GOOGLETRANSLATE(B57,""en"",""es"")"),"Actualizar documentos")</f>
        <v>Actualizar documentos</v>
      </c>
      <c r="M57" s="4" t="str">
        <f>IFERROR(__xludf.DUMMYFUNCTION("GOOGLETRANSLATE(B57,""en"",""iw"")"),"עדכון מסמכים")</f>
        <v>עדכון מסמכים</v>
      </c>
      <c r="N57" s="4" t="str">
        <f>IFERROR(__xludf.DUMMYFUNCTION("GOOGLETRANSLATE(B57,""en"",""bn"")"),"নথি আপডেট করুন")</f>
        <v>নথি আপডেট করুন</v>
      </c>
      <c r="O57" s="4" t="str">
        <f>IFERROR(__xludf.DUMMYFUNCTION("GOOGLETRANSLATE(B57,""en"",""pt"")"),"Atualizar documentos")</f>
        <v>Atualizar documentos</v>
      </c>
    </row>
    <row r="58">
      <c r="A58" s="7" t="s">
        <v>173</v>
      </c>
      <c r="B58" s="3" t="s">
        <v>174</v>
      </c>
      <c r="C58" s="4" t="str">
        <f>IFERROR(__xludf.DUMMYFUNCTION("GOOGLETRANSLATE(B58,""en"",""hi"")"),"खाता अवरुद्ध")</f>
        <v>खाता अवरुद्ध</v>
      </c>
      <c r="D58" s="6" t="s">
        <v>175</v>
      </c>
      <c r="E58" s="4" t="str">
        <f>IFERROR(__xludf.DUMMYFUNCTION("GOOGLETRANSLATE(B58,""en"",""fr"")"),"Compte bloqué")</f>
        <v>Compte bloqué</v>
      </c>
      <c r="F58" s="4" t="str">
        <f>IFERROR(__xludf.DUMMYFUNCTION("GOOGLETRANSLATE(B58,""en"",""tr"")"),"Hesap Bloke Edildi")</f>
        <v>Hesap Bloke Edildi</v>
      </c>
      <c r="G58" s="4" t="str">
        <f>IFERROR(__xludf.DUMMYFUNCTION("GOOGLETRANSLATE(B58,""en"",""ru"")"),"Аккаунт заблокирован")</f>
        <v>Аккаунт заблокирован</v>
      </c>
      <c r="H58" s="4" t="str">
        <f>IFERROR(__xludf.DUMMYFUNCTION("GOOGLETRANSLATE(B58,""en"",""it"")"),"Account bloccato")</f>
        <v>Account bloccato</v>
      </c>
      <c r="I58" s="4" t="str">
        <f>IFERROR(__xludf.DUMMYFUNCTION("GOOGLETRANSLATE(B58,""en"",""de"")"),"Konto gesperrt")</f>
        <v>Konto gesperrt</v>
      </c>
      <c r="J58" s="4" t="str">
        <f>IFERROR(__xludf.DUMMYFUNCTION("GOOGLETRANSLATE(B58,""en"",""ko"")"),"계정 차단됨")</f>
        <v>계정 차단됨</v>
      </c>
      <c r="K58" s="4" t="str">
        <f>IFERROR(__xludf.DUMMYFUNCTION("GOOGLETRANSLATE(B58,""en"",""zh"")"),"账户被冻结")</f>
        <v>账户被冻结</v>
      </c>
      <c r="L58" s="4" t="str">
        <f>IFERROR(__xludf.DUMMYFUNCTION("GOOGLETRANSLATE(B58,""en"",""es"")"),"Cuenta bloqueada")</f>
        <v>Cuenta bloqueada</v>
      </c>
      <c r="M58" s="4" t="str">
        <f>IFERROR(__xludf.DUMMYFUNCTION("GOOGLETRANSLATE(B58,""en"",""iw"")"),"חשבון חסום")</f>
        <v>חשבון חסום</v>
      </c>
      <c r="N58" s="4" t="str">
        <f>IFERROR(__xludf.DUMMYFUNCTION("GOOGLETRANSLATE(B58,""en"",""bn"")"),"অ্যাকাউন্ট ব্লক করা হয়েছে")</f>
        <v>অ্যাকাউন্ট ব্লক করা হয়েছে</v>
      </c>
      <c r="O58" s="4" t="str">
        <f>IFERROR(__xludf.DUMMYFUNCTION("GOOGLETRANSLATE(B58,""en"",""pt"")"),"Conta bloqueada")</f>
        <v>Conta bloqueada</v>
      </c>
    </row>
    <row r="59">
      <c r="A59" s="7" t="s">
        <v>176</v>
      </c>
      <c r="B59" s="3" t="s">
        <v>177</v>
      </c>
      <c r="C59" s="4" t="str">
        <f>IFERROR(__xludf.DUMMYFUNCTION("GOOGLETRANSLATE(B59,""en"",""hi"")"),"आपका खाता निम्नलिखित कारणों से अवरुद्ध है")</f>
        <v>आपका खाता निम्नलिखित कारणों से अवरुद्ध है</v>
      </c>
      <c r="D59" s="6" t="s">
        <v>178</v>
      </c>
      <c r="E59" s="4" t="str">
        <f>IFERROR(__xludf.DUMMYFUNCTION("GOOGLETRANSLATE(B59,""en"",""fr"")"),"Votre compte est bloqué pour les raisons suivantes")</f>
        <v>Votre compte est bloqué pour les raisons suivantes</v>
      </c>
      <c r="F59" s="4" t="str">
        <f>IFERROR(__xludf.DUMMYFUNCTION("GOOGLETRANSLATE(B59,""en"",""tr"")"),"Hesabınız aşağıdaki nedenlerden dolayı bloke edildi")</f>
        <v>Hesabınız aşağıdaki nedenlerden dolayı bloke edildi</v>
      </c>
      <c r="G59" s="4" t="str">
        <f>IFERROR(__xludf.DUMMYFUNCTION("GOOGLETRANSLATE(B59,""en"",""ru"")"),"Ваш аккаунт заблокирован по следующим причинам")</f>
        <v>Ваш аккаунт заблокирован по следующим причинам</v>
      </c>
      <c r="H59" s="4" t="str">
        <f>IFERROR(__xludf.DUMMYFUNCTION("GOOGLETRANSLATE(B59,""en"",""it"")"),"Il tuo account è bloccato per i seguenti motivi")</f>
        <v>Il tuo account è bloccato per i seguenti motivi</v>
      </c>
      <c r="I59" s="4" t="str">
        <f>IFERROR(__xludf.DUMMYFUNCTION("GOOGLETRANSLATE(B59,""en"",""de"")"),"Ihr Konto ist aus folgenden Gründen gesperrt")</f>
        <v>Ihr Konto ist aus folgenden Gründen gesperrt</v>
      </c>
      <c r="J59" s="4" t="str">
        <f>IFERROR(__xludf.DUMMYFUNCTION("GOOGLETRANSLATE(B59,""en"",""ko"")"),"귀하의 계정은 다음과 같은 이유로 차단되었습니다.")</f>
        <v>귀하의 계정은 다음과 같은 이유로 차단되었습니다.</v>
      </c>
      <c r="K59" s="4" t="str">
        <f>IFERROR(__xludf.DUMMYFUNCTION("GOOGLETRANSLATE(B59,""en"",""zh"")"),"您的帐户因以下原因被冻结")</f>
        <v>您的帐户因以下原因被冻结</v>
      </c>
      <c r="L59" s="4" t="str">
        <f>IFERROR(__xludf.DUMMYFUNCTION("GOOGLETRANSLATE(B59,""en"",""es"")"),"Su cuenta está bloqueada por los siguientes motivos")</f>
        <v>Su cuenta está bloqueada por los siguientes motivos</v>
      </c>
      <c r="M59" s="4" t="str">
        <f>IFERROR(__xludf.DUMMYFUNCTION("GOOGLETRANSLATE(B59,""en"",""iw"")"),"החשבון שלך נחסם מהסיבות הבאות")</f>
        <v>החשבון שלך נחסם מהסיבות הבאות</v>
      </c>
      <c r="N59" s="4" t="str">
        <f>IFERROR(__xludf.DUMMYFUNCTION("GOOGLETRANSLATE(B59,""en"",""bn"")"),"নিম্নলিখিত কারণে আপনার অ্যাকাউন্ট ব্লক করা হয়েছে")</f>
        <v>নিম্নলিখিত কারণে আপনার অ্যাকাউন্ট ব্লক করা হয়েছে</v>
      </c>
      <c r="O59" s="4" t="str">
        <f>IFERROR(__xludf.DUMMYFUNCTION("GOOGLETRANSLATE(B59,""en"",""pt"")"),"Sua conta está bloqueada pelos seguintes motivos")</f>
        <v>Sua conta está bloqueada pelos seguintes motivos</v>
      </c>
    </row>
    <row r="60">
      <c r="A60" s="7" t="s">
        <v>179</v>
      </c>
      <c r="B60" s="3" t="s">
        <v>180</v>
      </c>
      <c r="C60" s="4" t="str">
        <f>IFERROR(__xludf.DUMMYFUNCTION("GOOGLETRANSLATE(B60,""en"",""hi"")"),"अपने व्यवस्थापक से संपर्क करें")</f>
        <v>अपने व्यवस्थापक से संपर्क करें</v>
      </c>
      <c r="D60" s="6" t="s">
        <v>181</v>
      </c>
      <c r="E60" s="4" t="str">
        <f>IFERROR(__xludf.DUMMYFUNCTION("GOOGLETRANSLATE(B60,""en"",""fr"")"),"Contactez votre administrateur")</f>
        <v>Contactez votre administrateur</v>
      </c>
      <c r="F60" s="4" t="str">
        <f>IFERROR(__xludf.DUMMYFUNCTION("GOOGLETRANSLATE(B60,""en"",""tr"")"),"Yöneticinizle iletişime geçin")</f>
        <v>Yöneticinizle iletişime geçin</v>
      </c>
      <c r="G60" s="4" t="str">
        <f>IFERROR(__xludf.DUMMYFUNCTION("GOOGLETRANSLATE(B60,""en"",""ru"")"),"Обратитесь к своему администратору")</f>
        <v>Обратитесь к своему администратору</v>
      </c>
      <c r="H60" s="4" t="str">
        <f>IFERROR(__xludf.DUMMYFUNCTION("GOOGLETRANSLATE(B60,""en"",""it"")"),"Contatta il tuo amministratore")</f>
        <v>Contatta il tuo amministratore</v>
      </c>
      <c r="I60" s="4" t="str">
        <f>IFERROR(__xludf.DUMMYFUNCTION("GOOGLETRANSLATE(B60,""en"",""de"")"),"Kontaktieren Sie Ihren Administrator")</f>
        <v>Kontaktieren Sie Ihren Administrator</v>
      </c>
      <c r="J60" s="4" t="str">
        <f>IFERROR(__xludf.DUMMYFUNCTION("GOOGLETRANSLATE(B60,""en"",""ko"")"),"관리자에게 문의하세요")</f>
        <v>관리자에게 문의하세요</v>
      </c>
      <c r="K60" s="4" t="str">
        <f>IFERROR(__xludf.DUMMYFUNCTION("GOOGLETRANSLATE(B60,""en"",""zh"")"),"联系您的管理员")</f>
        <v>联系您的管理员</v>
      </c>
      <c r="L60" s="4" t="str">
        <f>IFERROR(__xludf.DUMMYFUNCTION("GOOGLETRANSLATE(B60,""en"",""es"")"),"Contacte a su administrador")</f>
        <v>Contacte a su administrador</v>
      </c>
      <c r="M60" s="4" t="str">
        <f>IFERROR(__xludf.DUMMYFUNCTION("GOOGLETRANSLATE(B60,""en"",""iw"")"),"פנה למנהל המערכת שלך")</f>
        <v>פנה למנהל המערכת שלך</v>
      </c>
      <c r="N60" s="4" t="str">
        <f>IFERROR(__xludf.DUMMYFUNCTION("GOOGLETRANSLATE(B60,""en"",""bn"")"),"আপনার অ্যাডমিনের সাথে যোগাযোগ করুন")</f>
        <v>আপনার অ্যাডমিনের সাথে যোগাযোগ করুন</v>
      </c>
      <c r="O60" s="4" t="str">
        <f>IFERROR(__xludf.DUMMYFUNCTION("GOOGLETRANSLATE(B60,""en"",""pt"")"),"Entre em contato com seu administrador")</f>
        <v>Entre em contato com seu administrador</v>
      </c>
    </row>
    <row r="61">
      <c r="A61" s="7" t="s">
        <v>182</v>
      </c>
      <c r="B61" s="3" t="s">
        <v>183</v>
      </c>
      <c r="C61" s="4" t="str">
        <f>IFERROR(__xludf.DUMMYFUNCTION("GOOGLETRANSLATE(B61,""en"",""hi"")"),"कृपया अपना स्थान सक्षम करें")</f>
        <v>कृपया अपना स्थान सक्षम करें</v>
      </c>
      <c r="D61" s="6" t="s">
        <v>184</v>
      </c>
      <c r="E61" s="4" t="str">
        <f>IFERROR(__xludf.DUMMYFUNCTION("GOOGLETRANSLATE(B61,""en"",""fr"")"),"Veuillez activer votre localisation")</f>
        <v>Veuillez activer votre localisation</v>
      </c>
      <c r="F61" s="4" t="str">
        <f>IFERROR(__xludf.DUMMYFUNCTION("GOOGLETRANSLATE(B61,""en"",""tr"")"),"Lütfen Konumunuzu Etkinleştirin")</f>
        <v>Lütfen Konumunuzu Etkinleştirin</v>
      </c>
      <c r="G61" s="4" t="str">
        <f>IFERROR(__xludf.DUMMYFUNCTION("GOOGLETRANSLATE(B61,""en"",""ru"")"),"Пожалуйста, включите ваше местоположение")</f>
        <v>Пожалуйста, включите ваше местоположение</v>
      </c>
      <c r="H61" s="4" t="str">
        <f>IFERROR(__xludf.DUMMYFUNCTION("GOOGLETRANSLATE(B61,""en"",""it"")"),"Abilita la tua posizione")</f>
        <v>Abilita la tua posizione</v>
      </c>
      <c r="I61" s="4" t="str">
        <f>IFERROR(__xludf.DUMMYFUNCTION("GOOGLETRANSLATE(B61,""en"",""de"")"),"Bitte aktivieren Sie Ihren Standort")</f>
        <v>Bitte aktivieren Sie Ihren Standort</v>
      </c>
      <c r="J61" s="4" t="str">
        <f>IFERROR(__xludf.DUMMYFUNCTION("GOOGLETRANSLATE(B61,""en"",""ko"")"),"위치를 활성화해 주세요")</f>
        <v>위치를 활성화해 주세요</v>
      </c>
      <c r="K61" s="4" t="str">
        <f>IFERROR(__xludf.DUMMYFUNCTION("GOOGLETRANSLATE(B61,""en"",""zh"")"),"请启用您的位置")</f>
        <v>请启用您的位置</v>
      </c>
      <c r="L61" s="4" t="str">
        <f>IFERROR(__xludf.DUMMYFUNCTION("GOOGLETRANSLATE(B61,""en"",""es"")"),"Por favor habilite su ubicación")</f>
        <v>Por favor habilite su ubicación</v>
      </c>
      <c r="M61" s="4" t="str">
        <f>IFERROR(__xludf.DUMMYFUNCTION("GOOGLETRANSLATE(B61,""en"",""iw"")"),"אנא הפעל את המיקום שלך")</f>
        <v>אנא הפעל את המיקום שלך</v>
      </c>
      <c r="N61" s="4" t="str">
        <f>IFERROR(__xludf.DUMMYFUNCTION("GOOGLETRANSLATE(B61,""en"",""bn"")"),"আপনার অবস্থান সক্রিয় করুন")</f>
        <v>আপনার অবস্থান সক্রিয় করুন</v>
      </c>
      <c r="O61" s="4" t="str">
        <f>IFERROR(__xludf.DUMMYFUNCTION("GOOGLETRANSLATE(B61,""en"",""pt"")"),"Por favor, habilite sua localização")</f>
        <v>Por favor, habilite sua localização</v>
      </c>
    </row>
    <row r="62">
      <c r="A62" s="7" t="s">
        <v>185</v>
      </c>
      <c r="B62" s="3" t="s">
        <v>186</v>
      </c>
      <c r="C62" s="4" t="str">
        <f>IFERROR(__xludf.DUMMYFUNCTION("GOOGLETRANSLATE(B62,""en"",""hi"")"),"ठीक है")</f>
        <v>ठीक है</v>
      </c>
      <c r="D62" s="6" t="s">
        <v>187</v>
      </c>
      <c r="E62" s="4" t="str">
        <f>IFERROR(__xludf.DUMMYFUNCTION("GOOGLETRANSLATE(B62,""en"",""fr"")"),"D'accord")</f>
        <v>D'accord</v>
      </c>
      <c r="F62" s="4" t="str">
        <f>IFERROR(__xludf.DUMMYFUNCTION("GOOGLETRANSLATE(B62,""en"",""tr"")"),"Tamam")</f>
        <v>Tamam</v>
      </c>
      <c r="G62" s="4" t="str">
        <f>IFERROR(__xludf.DUMMYFUNCTION("GOOGLETRANSLATE(B62,""en"",""ru"")"),"Хорошо")</f>
        <v>Хорошо</v>
      </c>
      <c r="H62" s="4" t="str">
        <f>IFERROR(__xludf.DUMMYFUNCTION("GOOGLETRANSLATE(B62,""en"",""it"")"),"OK")</f>
        <v>OK</v>
      </c>
      <c r="I62" s="4" t="str">
        <f>IFERROR(__xludf.DUMMYFUNCTION("GOOGLETRANSLATE(B62,""en"",""de"")"),"OK")</f>
        <v>OK</v>
      </c>
      <c r="J62" s="4" t="str">
        <f>IFERROR(__xludf.DUMMYFUNCTION("GOOGLETRANSLATE(B62,""en"",""ko"")"),"좋아요")</f>
        <v>좋아요</v>
      </c>
      <c r="K62" s="4" t="str">
        <f>IFERROR(__xludf.DUMMYFUNCTION("GOOGLETRANSLATE(B62,""en"",""zh"")"),"好的")</f>
        <v>好的</v>
      </c>
      <c r="L62" s="4" t="str">
        <f>IFERROR(__xludf.DUMMYFUNCTION("GOOGLETRANSLATE(B62,""en"",""es"")"),"De acuerdo")</f>
        <v>De acuerdo</v>
      </c>
      <c r="M62" s="4" t="str">
        <f>IFERROR(__xludf.DUMMYFUNCTION("GOOGLETRANSLATE(B62,""en"",""iw"")"),"בְּסֵדֶר")</f>
        <v>בְּסֵדֶר</v>
      </c>
      <c r="N62" s="4" t="str">
        <f>IFERROR(__xludf.DUMMYFUNCTION("GOOGLETRANSLATE(B62,""en"",""bn"")"),"ঠিক আছে")</f>
        <v>ঠিক আছে</v>
      </c>
      <c r="O62" s="4" t="str">
        <f>IFERROR(__xludf.DUMMYFUNCTION("GOOGLETRANSLATE(B62,""en"",""pt"")"),"OK")</f>
        <v>OK</v>
      </c>
    </row>
    <row r="63">
      <c r="A63" s="7" t="s">
        <v>188</v>
      </c>
      <c r="B63" s="3" t="s">
        <v>189</v>
      </c>
      <c r="C63" s="4" t="str">
        <f>IFERROR(__xludf.DUMMYFUNCTION("GOOGLETRANSLATE(B63,""en"",""hi"")"),"हर समय स्थान की अनुमति दें - वाहन बुक करने के लिए")</f>
        <v>हर समय स्थान की अनुमति दें - वाहन बुक करने के लिए</v>
      </c>
      <c r="D63" s="6" t="s">
        <v>190</v>
      </c>
      <c r="E63" s="4" t="str">
        <f>IFERROR(__xludf.DUMMYFUNCTION("GOOGLETRANSLATE(B63,""en"",""fr"")"),"Autoriser la localisation à tout moment - Pour réserver un véhicule")</f>
        <v>Autoriser la localisation à tout moment - Pour réserver un véhicule</v>
      </c>
      <c r="F63" s="4" t="str">
        <f>IFERROR(__xludf.DUMMYFUNCTION("GOOGLETRANSLATE(B63,""en"",""tr"")"),"Her zaman Konuma İzin Ver - Bir araç rezervasyonu yapmak için")</f>
        <v>Her zaman Konuma İzin Ver - Bir araç rezervasyonu yapmak için</v>
      </c>
      <c r="G63" s="4" t="str">
        <f>IFERROR(__xludf.DUMMYFUNCTION("GOOGLETRANSLATE(B63,""en"",""ru"")"),"Разрешить местоположение всегда — для бронирования автомобиля")</f>
        <v>Разрешить местоположение всегда — для бронирования автомобиля</v>
      </c>
      <c r="H63" s="4" t="str">
        <f>IFERROR(__xludf.DUMMYFUNCTION("GOOGLETRANSLATE(B63,""en"",""it"")"),"Consenti la posizione in ogni momento - Per prenotare un veicolo")</f>
        <v>Consenti la posizione in ogni momento - Per prenotare un veicolo</v>
      </c>
      <c r="I63" s="4" t="str">
        <f>IFERROR(__xludf.DUMMYFUNCTION("GOOGLETRANSLATE(B63,""en"",""de"")"),"Standort immer zulassen – Um ein Fahrzeug zu buchen")</f>
        <v>Standort immer zulassen – Um ein Fahrzeug zu buchen</v>
      </c>
      <c r="J63" s="4" t="str">
        <f>IFERROR(__xludf.DUMMYFUNCTION("GOOGLETRANSLATE(B63,""en"",""ko"")"),"항상 위치 허용 - 차량 예약")</f>
        <v>항상 위치 허용 - 차량 예약</v>
      </c>
      <c r="K63" s="4" t="str">
        <f>IFERROR(__xludf.DUMMYFUNCTION("GOOGLETRANSLATE(B63,""en"",""zh"")"),"始终允许定位 - 预订车辆")</f>
        <v>始终允许定位 - 预订车辆</v>
      </c>
      <c r="L63" s="4" t="str">
        <f>IFERROR(__xludf.DUMMYFUNCTION("GOOGLETRANSLATE(B63,""en"",""es"")"),"Permitir ubicación en todo momento - Para reservar un vehículo")</f>
        <v>Permitir ubicación en todo momento - Para reservar un vehículo</v>
      </c>
      <c r="M63" s="4" t="str">
        <f>IFERROR(__xludf.DUMMYFUNCTION("GOOGLETRANSLATE(B63,""en"",""iw"")"),"אפשר מיקום כל הזמן - להזמנת רכב")</f>
        <v>אפשר מיקום כל הזמן - להזמנת רכב</v>
      </c>
      <c r="N63" s="4" t="str">
        <f>IFERROR(__xludf.DUMMYFUNCTION("GOOGLETRANSLATE(B63,""en"",""bn"")"),"সর্বদা অবস্থানের অনুমতি দিন - একটি যানবাহন বুক করতে")</f>
        <v>সর্বদা অবস্থানের অনুমতি দিন - একটি যানবাহন বুক করতে</v>
      </c>
      <c r="O63" s="4" t="str">
        <f>IFERROR(__xludf.DUMMYFUNCTION("GOOGLETRANSLATE(B63,""en"",""pt"")"),"Permitir localização o tempo todo - Para reservar um veículo")</f>
        <v>Permitir localização o tempo todo - Para reservar um veículo</v>
      </c>
    </row>
    <row r="64">
      <c r="A64" s="7" t="s">
        <v>191</v>
      </c>
      <c r="B64" s="3" t="s">
        <v>192</v>
      </c>
      <c r="C64" s="4" t="str">
        <f>IFERROR(__xludf.DUMMYFUNCTION("GOOGLETRANSLATE(B64,""en"",""hi"")"),"ड्यूटी पर")</f>
        <v>ड्यूटी पर</v>
      </c>
      <c r="D64" s="4" t="str">
        <f>IFERROR(__xludf.DUMMYFUNCTION("GOOGLETRANSLATE(B64,""en"",""ar"")"),"في الخدمة")</f>
        <v>في الخدمة</v>
      </c>
      <c r="E64" s="4" t="str">
        <f>IFERROR(__xludf.DUMMYFUNCTION("GOOGLETRANSLATE(B64,""en"",""fr"")"),"De garde")</f>
        <v>De garde</v>
      </c>
      <c r="F64" s="4" t="str">
        <f>IFERROR(__xludf.DUMMYFUNCTION("GOOGLETRANSLATE(B64,""en"",""tr"")"),"Görev Başında")</f>
        <v>Görev Başında</v>
      </c>
      <c r="G64" s="4" t="str">
        <f>IFERROR(__xludf.DUMMYFUNCTION("GOOGLETRANSLATE(B64,""en"",""ru"")"),"На дежурстве")</f>
        <v>На дежурстве</v>
      </c>
      <c r="H64" s="4" t="str">
        <f>IFERROR(__xludf.DUMMYFUNCTION("GOOGLETRANSLATE(B64,""en"",""it"")"),"In servizio")</f>
        <v>In servizio</v>
      </c>
      <c r="I64" s="4" t="str">
        <f>IFERROR(__xludf.DUMMYFUNCTION("GOOGLETRANSLATE(B64,""en"",""de"")"),"Im Dienst")</f>
        <v>Im Dienst</v>
      </c>
      <c r="J64" s="4" t="str">
        <f>IFERROR(__xludf.DUMMYFUNCTION("GOOGLETRANSLATE(B64,""en"",""ko"")"),"근무 중")</f>
        <v>근무 중</v>
      </c>
      <c r="K64" s="4" t="str">
        <f>IFERROR(__xludf.DUMMYFUNCTION("GOOGLETRANSLATE(B64,""en"",""zh"")"),"值班")</f>
        <v>值班</v>
      </c>
      <c r="L64" s="4" t="str">
        <f>IFERROR(__xludf.DUMMYFUNCTION("GOOGLETRANSLATE(B64,""en"",""es"")"),"De servicio")</f>
        <v>De servicio</v>
      </c>
      <c r="M64" s="4" t="str">
        <f>IFERROR(__xludf.DUMMYFUNCTION("GOOGLETRANSLATE(B64,""en"",""iw"")"),"בְּתַפקִיד")</f>
        <v>בְּתַפקִיד</v>
      </c>
      <c r="N64" s="4" t="str">
        <f>IFERROR(__xludf.DUMMYFUNCTION("GOOGLETRANSLATE(B64,""en"",""bn"")"),"অন ডিউটি")</f>
        <v>অন ডিউটি</v>
      </c>
      <c r="O64" s="4" t="str">
        <f>IFERROR(__xludf.DUMMYFUNCTION("GOOGLETRANSLATE(B64,""en"",""pt"")"),"Em serviço")</f>
        <v>Em serviço</v>
      </c>
    </row>
    <row r="65">
      <c r="A65" s="7" t="s">
        <v>193</v>
      </c>
      <c r="B65" s="3" t="s">
        <v>194</v>
      </c>
      <c r="C65" s="4" t="str">
        <f>IFERROR(__xludf.DUMMYFUNCTION("GOOGLETRANSLATE(B65,""en"",""hi"")"),"काम के समय के बाद")</f>
        <v>काम के समय के बाद</v>
      </c>
      <c r="D65" s="4" t="str">
        <f>IFERROR(__xludf.DUMMYFUNCTION("GOOGLETRANSLATE(B65,""en"",""ar"")"),"خارج الخدمة")</f>
        <v>خارج الخدمة</v>
      </c>
      <c r="E65" s="4" t="str">
        <f>IFERROR(__xludf.DUMMYFUNCTION("GOOGLETRANSLATE(B65,""en"",""fr"")"),"En congé")</f>
        <v>En congé</v>
      </c>
      <c r="F65" s="4" t="str">
        <f>IFERROR(__xludf.DUMMYFUNCTION("GOOGLETRANSLATE(B65,""en"",""tr"")"),"Görev Dışı")</f>
        <v>Görev Dışı</v>
      </c>
      <c r="G65" s="4" t="str">
        <f>IFERROR(__xludf.DUMMYFUNCTION("GOOGLETRANSLATE(B65,""en"",""ru"")"),"Вне службы")</f>
        <v>Вне службы</v>
      </c>
      <c r="H65" s="4" t="str">
        <f>IFERROR(__xludf.DUMMYFUNCTION("GOOGLETRANSLATE(B65,""en"",""it"")"),"Fuori servizio")</f>
        <v>Fuori servizio</v>
      </c>
      <c r="I65" s="4" t="str">
        <f>IFERROR(__xludf.DUMMYFUNCTION("GOOGLETRANSLATE(B65,""en"",""de"")"),"Außer Dienst")</f>
        <v>Außer Dienst</v>
      </c>
      <c r="J65" s="4" t="str">
        <f>IFERROR(__xludf.DUMMYFUNCTION("GOOGLETRANSLATE(B65,""en"",""ko"")"),"비번")</f>
        <v>비번</v>
      </c>
      <c r="K65" s="4" t="str">
        <f>IFERROR(__xludf.DUMMYFUNCTION("GOOGLETRANSLATE(B65,""en"",""zh"")"),"下班")</f>
        <v>下班</v>
      </c>
      <c r="L65" s="4" t="str">
        <f>IFERROR(__xludf.DUMMYFUNCTION("GOOGLETRANSLATE(B65,""en"",""es"")"),"Fuera de servicio")</f>
        <v>Fuera de servicio</v>
      </c>
      <c r="M65" s="4" t="str">
        <f>IFERROR(__xludf.DUMMYFUNCTION("GOOGLETRANSLATE(B65,""en"",""iw"")"),"מִחוּץ לְתַפְקִיד")</f>
        <v>מִחוּץ לְתַפְקִיד</v>
      </c>
      <c r="N65" s="4" t="str">
        <f>IFERROR(__xludf.DUMMYFUNCTION("GOOGLETRANSLATE(B65,""en"",""bn"")"),"অফ ডিউটি")</f>
        <v>অফ ডিউটি</v>
      </c>
      <c r="O65" s="4" t="str">
        <f>IFERROR(__xludf.DUMMYFUNCTION("GOOGLETRANSLATE(B65,""en"",""pt"")"),"Fora de serviço")</f>
        <v>Fora de serviço</v>
      </c>
    </row>
    <row r="66">
      <c r="A66" s="7" t="s">
        <v>195</v>
      </c>
      <c r="B66" s="3" t="s">
        <v>196</v>
      </c>
      <c r="C66" s="4" t="str">
        <f>IFERROR(__xludf.DUMMYFUNCTION("GOOGLETRANSLATE(B66,""en"",""hi"")"),"पिक अप बिंदु")</f>
        <v>पिक अप बिंदु</v>
      </c>
      <c r="D66" s="6" t="s">
        <v>197</v>
      </c>
      <c r="E66" s="4" t="str">
        <f>IFERROR(__xludf.DUMMYFUNCTION("GOOGLETRANSLATE(B66,""en"",""fr"")"),"Point de retrait")</f>
        <v>Point de retrait</v>
      </c>
      <c r="F66" s="4" t="str">
        <f>IFERROR(__xludf.DUMMYFUNCTION("GOOGLETRANSLATE(B66,""en"",""tr"")"),"Alım noktası")</f>
        <v>Alım noktası</v>
      </c>
      <c r="G66" s="4" t="str">
        <f>IFERROR(__xludf.DUMMYFUNCTION("GOOGLETRANSLATE(B66,""en"",""ru"")"),"Пункт выдачи")</f>
        <v>Пункт выдачи</v>
      </c>
      <c r="H66" s="4" t="str">
        <f>IFERROR(__xludf.DUMMYFUNCTION("GOOGLETRANSLATE(B66,""en"",""it"")"),"Punto di ritiro")</f>
        <v>Punto di ritiro</v>
      </c>
      <c r="I66" s="4" t="str">
        <f>IFERROR(__xludf.DUMMYFUNCTION("GOOGLETRANSLATE(B66,""en"",""de"")"),"Abholpunkt")</f>
        <v>Abholpunkt</v>
      </c>
      <c r="J66" s="4" t="str">
        <f>IFERROR(__xludf.DUMMYFUNCTION("GOOGLETRANSLATE(B66,""en"",""ko"")"),"픽업 지점")</f>
        <v>픽업 지점</v>
      </c>
      <c r="K66" s="4" t="str">
        <f>IFERROR(__xludf.DUMMYFUNCTION("GOOGLETRANSLATE(B66,""en"",""zh"")"),"接送点")</f>
        <v>接送点</v>
      </c>
      <c r="L66" s="4" t="str">
        <f>IFERROR(__xludf.DUMMYFUNCTION("GOOGLETRANSLATE(B66,""en"",""es"")"),"Punto de recogida")</f>
        <v>Punto de recogida</v>
      </c>
      <c r="M66" s="4" t="str">
        <f>IFERROR(__xludf.DUMMYFUNCTION("GOOGLETRANSLATE(B66,""en"",""iw"")"),"נקודת איסוף")</f>
        <v>נקודת איסוף</v>
      </c>
      <c r="N66" s="4" t="str">
        <f>IFERROR(__xludf.DUMMYFUNCTION("GOOGLETRANSLATE(B66,""en"",""bn"")"),"পিকআপ পয়েন্ট")</f>
        <v>পিকআপ পয়েন্ট</v>
      </c>
      <c r="O66" s="4" t="str">
        <f>IFERROR(__xludf.DUMMYFUNCTION("GOOGLETRANSLATE(B66,""en"",""pt"")"),"Ponto de coleta")</f>
        <v>Ponto de coleta</v>
      </c>
    </row>
    <row r="67">
      <c r="A67" s="7" t="s">
        <v>198</v>
      </c>
      <c r="B67" s="3" t="s">
        <v>199</v>
      </c>
      <c r="C67" s="4" t="str">
        <f>IFERROR(__xludf.DUMMYFUNCTION("GOOGLETRANSLATE(B67,""en"",""hi"")"),"ड्रॉपआउट बिंदु")</f>
        <v>ड्रॉपआउट बिंदु</v>
      </c>
      <c r="D67" s="6" t="s">
        <v>200</v>
      </c>
      <c r="E67" s="4" t="str">
        <f>IFERROR(__xludf.DUMMYFUNCTION("GOOGLETRANSLATE(B67,""en"",""fr"")"),"Point d'abandon")</f>
        <v>Point d'abandon</v>
      </c>
      <c r="F67" s="4" t="str">
        <f>IFERROR(__xludf.DUMMYFUNCTION("GOOGLETRANSLATE(B67,""en"",""tr"")"),"Bırakma noktası")</f>
        <v>Bırakma noktası</v>
      </c>
      <c r="G67" s="4" t="str">
        <f>IFERROR(__xludf.DUMMYFUNCTION("GOOGLETRANSLATE(B67,""en"",""ru"")"),"Точка отсева")</f>
        <v>Точка отсева</v>
      </c>
      <c r="H67" s="4" t="str">
        <f>IFERROR(__xludf.DUMMYFUNCTION("GOOGLETRANSLATE(B67,""en"",""it"")"),"Punto di abbandono")</f>
        <v>Punto di abbandono</v>
      </c>
      <c r="I67" s="4" t="str">
        <f>IFERROR(__xludf.DUMMYFUNCTION("GOOGLETRANSLATE(B67,""en"",""de"")"),"Ausstiegspunkt")</f>
        <v>Ausstiegspunkt</v>
      </c>
      <c r="J67" s="4" t="str">
        <f>IFERROR(__xludf.DUMMYFUNCTION("GOOGLETRANSLATE(B67,""en"",""ko"")"),"탈락 지점")</f>
        <v>탈락 지점</v>
      </c>
      <c r="K67" s="4" t="str">
        <f>IFERROR(__xludf.DUMMYFUNCTION("GOOGLETRANSLATE(B67,""en"",""zh"")"),"辍学点")</f>
        <v>辍学点</v>
      </c>
      <c r="L67" s="4" t="str">
        <f>IFERROR(__xludf.DUMMYFUNCTION("GOOGLETRANSLATE(B67,""en"",""es"")"),"Punto de abandono")</f>
        <v>Punto de abandono</v>
      </c>
      <c r="M67" s="4" t="str">
        <f>IFERROR(__xludf.DUMMYFUNCTION("GOOGLETRANSLATE(B67,""en"",""iw"")"),"נקודת נשירה")</f>
        <v>נקודת נשירה</v>
      </c>
      <c r="N67" s="4" t="str">
        <f>IFERROR(__xludf.DUMMYFUNCTION("GOOGLETRANSLATE(B67,""en"",""bn"")"),"ড্রপআউট পয়েন্ট")</f>
        <v>ড্রপআউট পয়েন্ট</v>
      </c>
      <c r="O67" s="4" t="str">
        <f>IFERROR(__xludf.DUMMYFUNCTION("GOOGLETRANSLATE(B67,""en"",""pt"")"),"Ponto de abandono")</f>
        <v>Ponto de abandono</v>
      </c>
    </row>
    <row r="68">
      <c r="A68" s="7" t="s">
        <v>201</v>
      </c>
      <c r="B68" s="8" t="s">
        <v>202</v>
      </c>
      <c r="C68" s="4" t="str">
        <f>IFERROR(__xludf.DUMMYFUNCTION("GOOGLETRANSLATE(B68,""en"",""hi"")"),"गिरावट")</f>
        <v>गिरावट</v>
      </c>
      <c r="D68" s="6" t="s">
        <v>203</v>
      </c>
      <c r="E68" s="4" t="str">
        <f>IFERROR(__xludf.DUMMYFUNCTION("GOOGLETRANSLATE(B68,""en"",""fr"")"),"Déclin")</f>
        <v>Déclin</v>
      </c>
      <c r="F68" s="4" t="str">
        <f>IFERROR(__xludf.DUMMYFUNCTION("GOOGLETRANSLATE(B68,""en"",""tr"")"),"Reddetmek")</f>
        <v>Reddetmek</v>
      </c>
      <c r="G68" s="4" t="str">
        <f>IFERROR(__xludf.DUMMYFUNCTION("GOOGLETRANSLATE(B68,""en"",""ru"")"),"Отклонить")</f>
        <v>Отклонить</v>
      </c>
      <c r="H68" s="4" t="str">
        <f>IFERROR(__xludf.DUMMYFUNCTION("GOOGLETRANSLATE(B68,""en"",""it"")"),"Declino")</f>
        <v>Declino</v>
      </c>
      <c r="I68" s="4" t="str">
        <f>IFERROR(__xludf.DUMMYFUNCTION("GOOGLETRANSLATE(B68,""en"",""de"")"),"Abfall")</f>
        <v>Abfall</v>
      </c>
      <c r="J68" s="4" t="str">
        <f>IFERROR(__xludf.DUMMYFUNCTION("GOOGLETRANSLATE(B68,""en"",""ko"")"),"감소")</f>
        <v>감소</v>
      </c>
      <c r="K68" s="4" t="str">
        <f>IFERROR(__xludf.DUMMYFUNCTION("GOOGLETRANSLATE(B68,""en"",""zh"")"),"衰退")</f>
        <v>衰退</v>
      </c>
      <c r="L68" s="4" t="str">
        <f>IFERROR(__xludf.DUMMYFUNCTION("GOOGLETRANSLATE(B68,""en"",""es"")"),"Rechazar")</f>
        <v>Rechazar</v>
      </c>
      <c r="M68" s="4" t="str">
        <f>IFERROR(__xludf.DUMMYFUNCTION("GOOGLETRANSLATE(B68,""en"",""iw"")"),"יְרִידָה")</f>
        <v>יְרִידָה</v>
      </c>
      <c r="N68" s="4" t="str">
        <f>IFERROR(__xludf.DUMMYFUNCTION("GOOGLETRANSLATE(B68,""en"",""bn"")"),"প্রত্যাখ্যান")</f>
        <v>প্রত্যাখ্যান</v>
      </c>
      <c r="O68" s="4" t="str">
        <f>IFERROR(__xludf.DUMMYFUNCTION("GOOGLETRANSLATE(B68,""en"",""pt"")"),"Declínio")</f>
        <v>Declínio</v>
      </c>
    </row>
    <row r="69">
      <c r="A69" s="7" t="s">
        <v>204</v>
      </c>
      <c r="B69" s="3" t="s">
        <v>205</v>
      </c>
      <c r="C69" s="4" t="str">
        <f>IFERROR(__xludf.DUMMYFUNCTION("GOOGLETRANSLATE(B69,""en"",""hi"")"),"स्वीकार करना")</f>
        <v>स्वीकार करना</v>
      </c>
      <c r="D69" s="6" t="s">
        <v>206</v>
      </c>
      <c r="E69" s="4" t="str">
        <f>IFERROR(__xludf.DUMMYFUNCTION("GOOGLETRANSLATE(B69,""en"",""fr"")"),"Accepter")</f>
        <v>Accepter</v>
      </c>
      <c r="F69" s="4" t="str">
        <f>IFERROR(__xludf.DUMMYFUNCTION("GOOGLETRANSLATE(B69,""en"",""tr"")"),"Kabul etmek")</f>
        <v>Kabul etmek</v>
      </c>
      <c r="G69" s="4" t="str">
        <f>IFERROR(__xludf.DUMMYFUNCTION("GOOGLETRANSLATE(B69,""en"",""ru"")"),"Принимать")</f>
        <v>Принимать</v>
      </c>
      <c r="H69" s="4" t="str">
        <f>IFERROR(__xludf.DUMMYFUNCTION("GOOGLETRANSLATE(B69,""en"",""it"")"),"Accettare")</f>
        <v>Accettare</v>
      </c>
      <c r="I69" s="4" t="str">
        <f>IFERROR(__xludf.DUMMYFUNCTION("GOOGLETRANSLATE(B69,""en"",""de"")"),"Akzeptieren")</f>
        <v>Akzeptieren</v>
      </c>
      <c r="J69" s="4" t="str">
        <f>IFERROR(__xludf.DUMMYFUNCTION("GOOGLETRANSLATE(B69,""en"",""ko"")"),"수용하다")</f>
        <v>수용하다</v>
      </c>
      <c r="K69" s="4" t="str">
        <f>IFERROR(__xludf.DUMMYFUNCTION("GOOGLETRANSLATE(B69,""en"",""zh"")"),"接受")</f>
        <v>接受</v>
      </c>
      <c r="L69" s="4" t="str">
        <f>IFERROR(__xludf.DUMMYFUNCTION("GOOGLETRANSLATE(B69,""en"",""es"")"),"Aceptar")</f>
        <v>Aceptar</v>
      </c>
      <c r="M69" s="4" t="str">
        <f>IFERROR(__xludf.DUMMYFUNCTION("GOOGLETRANSLATE(B69,""en"",""iw"")"),"לְקַבֵּל")</f>
        <v>לְקַבֵּל</v>
      </c>
      <c r="N69" s="4" t="str">
        <f>IFERROR(__xludf.DUMMYFUNCTION("GOOGLETRANSLATE(B69,""en"",""bn"")"),"গ্রহণ করুন")</f>
        <v>গ্রহণ করুন</v>
      </c>
      <c r="O69" s="4" t="str">
        <f>IFERROR(__xludf.DUMMYFUNCTION("GOOGLETRANSLATE(B69,""en"",""pt"")"),"Aceitar")</f>
        <v>Aceitar</v>
      </c>
    </row>
    <row r="70">
      <c r="A70" s="7" t="s">
        <v>207</v>
      </c>
      <c r="B70" s="3" t="s">
        <v>208</v>
      </c>
      <c r="C70" s="4" t="str">
        <f>IFERROR(__xludf.DUMMYFUNCTION("GOOGLETRANSLATE(B70,""en"",""hi"")"),"पुकारना")</f>
        <v>पुकारना</v>
      </c>
      <c r="D70" s="6" t="s">
        <v>209</v>
      </c>
      <c r="E70" s="4" t="str">
        <f>IFERROR(__xludf.DUMMYFUNCTION("GOOGLETRANSLATE(B70,""en"",""fr"")"),"Appel")</f>
        <v>Appel</v>
      </c>
      <c r="F70" s="4" t="str">
        <f>IFERROR(__xludf.DUMMYFUNCTION("GOOGLETRANSLATE(B70,""en"",""tr"")"),"Arama")</f>
        <v>Arama</v>
      </c>
      <c r="G70" s="4" t="str">
        <f>IFERROR(__xludf.DUMMYFUNCTION("GOOGLETRANSLATE(B70,""en"",""ru"")"),"Вызов")</f>
        <v>Вызов</v>
      </c>
      <c r="H70" s="4" t="str">
        <f>IFERROR(__xludf.DUMMYFUNCTION("GOOGLETRANSLATE(B70,""en"",""it"")"),"Chiamata")</f>
        <v>Chiamata</v>
      </c>
      <c r="I70" s="4" t="str">
        <f>IFERROR(__xludf.DUMMYFUNCTION("GOOGLETRANSLATE(B70,""en"",""de"")"),"Anruf")</f>
        <v>Anruf</v>
      </c>
      <c r="J70" s="4" t="str">
        <f>IFERROR(__xludf.DUMMYFUNCTION("GOOGLETRANSLATE(B70,""en"",""ko"")"),"부르다")</f>
        <v>부르다</v>
      </c>
      <c r="K70" s="4" t="str">
        <f>IFERROR(__xludf.DUMMYFUNCTION("GOOGLETRANSLATE(B70,""en"",""zh"")"),"称呼")</f>
        <v>称呼</v>
      </c>
      <c r="L70" s="4" t="str">
        <f>IFERROR(__xludf.DUMMYFUNCTION("GOOGLETRANSLATE(B70,""en"",""es"")"),"Llamar")</f>
        <v>Llamar</v>
      </c>
      <c r="M70" s="4" t="str">
        <f>IFERROR(__xludf.DUMMYFUNCTION("GOOGLETRANSLATE(B70,""en"",""iw"")"),"שִׂיחָה")</f>
        <v>שִׂיחָה</v>
      </c>
      <c r="N70" s="4" t="str">
        <f>IFERROR(__xludf.DUMMYFUNCTION("GOOGLETRANSLATE(B70,""en"",""bn"")"),"কল")</f>
        <v>কল</v>
      </c>
      <c r="O70" s="4" t="str">
        <f>IFERROR(__xludf.DUMMYFUNCTION("GOOGLETRANSLATE(B70,""en"",""pt"")"),"Chamar")</f>
        <v>Chamar</v>
      </c>
    </row>
    <row r="71">
      <c r="A71" s="7" t="s">
        <v>210</v>
      </c>
      <c r="B71" s="3" t="s">
        <v>211</v>
      </c>
      <c r="C71" s="4" t="str">
        <f>IFERROR(__xludf.DUMMYFUNCTION("GOOGLETRANSLATE(B71,""en"",""hi"")"),"बात करना")</f>
        <v>बात करना</v>
      </c>
      <c r="D71" s="6" t="s">
        <v>212</v>
      </c>
      <c r="E71" s="4" t="str">
        <f>IFERROR(__xludf.DUMMYFUNCTION("GOOGLETRANSLATE(B71,""en"",""fr"")"),"Chat")</f>
        <v>Chat</v>
      </c>
      <c r="F71" s="4" t="str">
        <f>IFERROR(__xludf.DUMMYFUNCTION("GOOGLETRANSLATE(B71,""en"",""tr"")"),"Sohbet")</f>
        <v>Sohbet</v>
      </c>
      <c r="G71" s="4" t="str">
        <f>IFERROR(__xludf.DUMMYFUNCTION("GOOGLETRANSLATE(B71,""en"",""ru"")"),"Чат")</f>
        <v>Чат</v>
      </c>
      <c r="H71" s="4" t="str">
        <f>IFERROR(__xludf.DUMMYFUNCTION("GOOGLETRANSLATE(B71,""en"",""it"")"),"Chiacchierata")</f>
        <v>Chiacchierata</v>
      </c>
      <c r="I71" s="4" t="str">
        <f>IFERROR(__xludf.DUMMYFUNCTION("GOOGLETRANSLATE(B71,""en"",""de"")"),"Chat")</f>
        <v>Chat</v>
      </c>
      <c r="J71" s="4" t="str">
        <f>IFERROR(__xludf.DUMMYFUNCTION("GOOGLETRANSLATE(B71,""en"",""ko"")"),"채팅")</f>
        <v>채팅</v>
      </c>
      <c r="K71" s="4" t="str">
        <f>IFERROR(__xludf.DUMMYFUNCTION("GOOGLETRANSLATE(B71,""en"",""zh"")"),"聊天")</f>
        <v>聊天</v>
      </c>
      <c r="L71" s="4" t="str">
        <f>IFERROR(__xludf.DUMMYFUNCTION("GOOGLETRANSLATE(B71,""en"",""es"")"),"Charlar")</f>
        <v>Charlar</v>
      </c>
      <c r="M71" s="4" t="str">
        <f>IFERROR(__xludf.DUMMYFUNCTION("GOOGLETRANSLATE(B71,""en"",""iw"")"),"לְשׂוֹחֵחַ")</f>
        <v>לְשׂוֹחֵחַ</v>
      </c>
      <c r="N71" s="4" t="str">
        <f>IFERROR(__xludf.DUMMYFUNCTION("GOOGLETRANSLATE(B71,""en"",""bn"")"),"চ্যাট")</f>
        <v>চ্যাট</v>
      </c>
      <c r="O71" s="4" t="str">
        <f>IFERROR(__xludf.DUMMYFUNCTION("GOOGLETRANSLATE(B71,""en"",""pt"")"),"Bater papo")</f>
        <v>Bater papo</v>
      </c>
    </row>
    <row r="72">
      <c r="A72" s="7" t="s">
        <v>213</v>
      </c>
      <c r="B72" s="9" t="s">
        <v>214</v>
      </c>
      <c r="C72" s="4" t="str">
        <f>IFERROR(__xludf.DUMMYFUNCTION("GOOGLETRANSLATE(B72,""en"",""hi"")"),"रद्द करना")</f>
        <v>रद्द करना</v>
      </c>
      <c r="D72" s="6" t="s">
        <v>215</v>
      </c>
      <c r="E72" s="4" t="str">
        <f>IFERROR(__xludf.DUMMYFUNCTION("GOOGLETRANSLATE(B72,""en"",""fr"")"),"Annuler")</f>
        <v>Annuler</v>
      </c>
      <c r="F72" s="4" t="str">
        <f>IFERROR(__xludf.DUMMYFUNCTION("GOOGLETRANSLATE(B72,""en"",""tr"")"),"İptal etmek")</f>
        <v>İptal etmek</v>
      </c>
      <c r="G72" s="4" t="str">
        <f>IFERROR(__xludf.DUMMYFUNCTION("GOOGLETRANSLATE(B72,""en"",""ru"")"),"Отмена")</f>
        <v>Отмена</v>
      </c>
      <c r="H72" s="4" t="str">
        <f>IFERROR(__xludf.DUMMYFUNCTION("GOOGLETRANSLATE(B72,""en"",""it"")"),"Cancellare")</f>
        <v>Cancellare</v>
      </c>
      <c r="I72" s="4" t="str">
        <f>IFERROR(__xludf.DUMMYFUNCTION("GOOGLETRANSLATE(B72,""en"",""de"")"),"Stornieren")</f>
        <v>Stornieren</v>
      </c>
      <c r="J72" s="4" t="str">
        <f>IFERROR(__xludf.DUMMYFUNCTION("GOOGLETRANSLATE(B72,""en"",""ko"")"),"취소")</f>
        <v>취소</v>
      </c>
      <c r="K72" s="4" t="str">
        <f>IFERROR(__xludf.DUMMYFUNCTION("GOOGLETRANSLATE(B72,""en"",""zh"")"),"取消")</f>
        <v>取消</v>
      </c>
      <c r="L72" s="4" t="str">
        <f>IFERROR(__xludf.DUMMYFUNCTION("GOOGLETRANSLATE(B72,""en"",""es"")"),"Cancelar")</f>
        <v>Cancelar</v>
      </c>
      <c r="M72" s="4" t="str">
        <f>IFERROR(__xludf.DUMMYFUNCTION("GOOGLETRANSLATE(B72,""en"",""iw"")"),"לְבַטֵל")</f>
        <v>לְבַטֵל</v>
      </c>
      <c r="N72" s="4" t="str">
        <f>IFERROR(__xludf.DUMMYFUNCTION("GOOGLETRANSLATE(B72,""en"",""bn"")"),"বাতিল করুন")</f>
        <v>বাতিল করুন</v>
      </c>
      <c r="O72" s="4" t="str">
        <f>IFERROR(__xludf.DUMMYFUNCTION("GOOGLETRANSLATE(B72,""en"",""pt"")"),"Cancelar")</f>
        <v>Cancelar</v>
      </c>
    </row>
    <row r="73">
      <c r="A73" s="7" t="s">
        <v>216</v>
      </c>
      <c r="B73" s="3" t="s">
        <v>217</v>
      </c>
      <c r="C73" s="4" t="str">
        <f>IFERROR(__xludf.DUMMYFUNCTION("GOOGLETRANSLATE(B73,""en"",""hi"")"),"पहुँचा")</f>
        <v>पहुँचा</v>
      </c>
      <c r="D73" s="6" t="s">
        <v>218</v>
      </c>
      <c r="E73" s="4" t="str">
        <f>IFERROR(__xludf.DUMMYFUNCTION("GOOGLETRANSLATE(B73,""en"",""fr"")"),"Arrivé")</f>
        <v>Arrivé</v>
      </c>
      <c r="F73" s="4" t="str">
        <f>IFERROR(__xludf.DUMMYFUNCTION("GOOGLETRANSLATE(B73,""en"",""tr"")"),"Ulaşmış")</f>
        <v>Ulaşmış</v>
      </c>
      <c r="G73" s="4" t="str">
        <f>IFERROR(__xludf.DUMMYFUNCTION("GOOGLETRANSLATE(B73,""en"",""ru"")"),"Приехал")</f>
        <v>Приехал</v>
      </c>
      <c r="H73" s="4" t="str">
        <f>IFERROR(__xludf.DUMMYFUNCTION("GOOGLETRANSLATE(B73,""en"",""it"")"),"Arrivato")</f>
        <v>Arrivato</v>
      </c>
      <c r="I73" s="4" t="str">
        <f>IFERROR(__xludf.DUMMYFUNCTION("GOOGLETRANSLATE(B73,""en"",""de"")"),"Angekommen")</f>
        <v>Angekommen</v>
      </c>
      <c r="J73" s="4" t="str">
        <f>IFERROR(__xludf.DUMMYFUNCTION("GOOGLETRANSLATE(B73,""en"",""ko"")"),"도착했다")</f>
        <v>도착했다</v>
      </c>
      <c r="K73" s="4" t="str">
        <f>IFERROR(__xludf.DUMMYFUNCTION("GOOGLETRANSLATE(B73,""en"",""zh"")"),"到达的")</f>
        <v>到达的</v>
      </c>
      <c r="L73" s="4" t="str">
        <f>IFERROR(__xludf.DUMMYFUNCTION("GOOGLETRANSLATE(B73,""en"",""es"")"),"Llegó")</f>
        <v>Llegó</v>
      </c>
      <c r="M73" s="4" t="str">
        <f>IFERROR(__xludf.DUMMYFUNCTION("GOOGLETRANSLATE(B73,""en"",""iw"")"),"הגיע")</f>
        <v>הגיע</v>
      </c>
      <c r="N73" s="4" t="str">
        <f>IFERROR(__xludf.DUMMYFUNCTION("GOOGLETRANSLATE(B73,""en"",""bn"")"),"পৌঁছেছে")</f>
        <v>পৌঁছেছে</v>
      </c>
      <c r="O73" s="4" t="str">
        <f>IFERROR(__xludf.DUMMYFUNCTION("GOOGLETRANSLATE(B73,""en"",""pt"")"),"Chegado")</f>
        <v>Chegado</v>
      </c>
    </row>
    <row r="74">
      <c r="A74" s="7" t="s">
        <v>219</v>
      </c>
      <c r="B74" s="3" t="s">
        <v>220</v>
      </c>
      <c r="C74" s="4" t="str">
        <f>IFERROR(__xludf.DUMMYFUNCTION("GOOGLETRANSLATE(B74,""en"",""hi"")"),"आप अभी ऑनलाइन हैं")</f>
        <v>आप अभी ऑनलाइन हैं</v>
      </c>
      <c r="D74" s="6" t="s">
        <v>221</v>
      </c>
      <c r="E74" s="4" t="str">
        <f>IFERROR(__xludf.DUMMYFUNCTION("GOOGLETRANSLATE(B74,""en"",""fr"")"),"Vous êtes en ligne maintenant")</f>
        <v>Vous êtes en ligne maintenant</v>
      </c>
      <c r="F74" s="4" t="str">
        <f>IFERROR(__xludf.DUMMYFUNCTION("GOOGLETRANSLATE(B74,""en"",""tr"")"),"Şu anda çevrimiçisiniz")</f>
        <v>Şu anda çevrimiçisiniz</v>
      </c>
      <c r="G74" s="4" t="str">
        <f>IFERROR(__xludf.DUMMYFUNCTION("GOOGLETRANSLATE(B74,""en"",""ru"")"),"Вы сейчас в сети")</f>
        <v>Вы сейчас в сети</v>
      </c>
      <c r="H74" s="4" t="str">
        <f>IFERROR(__xludf.DUMMYFUNCTION("GOOGLETRANSLATE(B74,""en"",""it"")"),"Ora sei online")</f>
        <v>Ora sei online</v>
      </c>
      <c r="I74" s="4" t="str">
        <f>IFERROR(__xludf.DUMMYFUNCTION("GOOGLETRANSLATE(B74,""en"",""de"")"),"Sie sind jetzt online")</f>
        <v>Sie sind jetzt online</v>
      </c>
      <c r="J74" s="4" t="str">
        <f>IFERROR(__xludf.DUMMYFUNCTION("GOOGLETRANSLATE(B74,""en"",""ko"")"),"지금 온라인 상태입니다")</f>
        <v>지금 온라인 상태입니다</v>
      </c>
      <c r="K74" s="4" t="str">
        <f>IFERROR(__xludf.DUMMYFUNCTION("GOOGLETRANSLATE(B74,""en"",""zh"")"),"您现在在线")</f>
        <v>您现在在线</v>
      </c>
      <c r="L74" s="4" t="str">
        <f>IFERROR(__xludf.DUMMYFUNCTION("GOOGLETRANSLATE(B74,""en"",""es"")"),"Estás en línea ahora")</f>
        <v>Estás en línea ahora</v>
      </c>
      <c r="M74" s="4" t="str">
        <f>IFERROR(__xludf.DUMMYFUNCTION("GOOGLETRANSLATE(B74,""en"",""iw"")"),"אתה מחובר עכשיו")</f>
        <v>אתה מחובר עכשיו</v>
      </c>
      <c r="N74" s="4" t="str">
        <f>IFERROR(__xludf.DUMMYFUNCTION("GOOGLETRANSLATE(B74,""en"",""bn"")"),"আপনি এখন অনলাইন")</f>
        <v>আপনি এখন অনলাইন</v>
      </c>
      <c r="O74" s="4" t="str">
        <f>IFERROR(__xludf.DUMMYFUNCTION("GOOGLETRANSLATE(B74,""en"",""pt"")"),"Você está online agora")</f>
        <v>Você está online agora</v>
      </c>
    </row>
    <row r="75">
      <c r="A75" s="7" t="s">
        <v>222</v>
      </c>
      <c r="B75" s="3" t="s">
        <v>223</v>
      </c>
      <c r="C75" s="4" t="str">
        <f>IFERROR(__xludf.DUMMYFUNCTION("GOOGLETRANSLATE(B75,""en"",""hi"")"),"आप अभी ऑफ़लाइन हैं")</f>
        <v>आप अभी ऑफ़लाइन हैं</v>
      </c>
      <c r="D75" s="6" t="s">
        <v>224</v>
      </c>
      <c r="E75" s="4" t="str">
        <f>IFERROR(__xludf.DUMMYFUNCTION("GOOGLETRANSLATE(B75,""en"",""fr"")"),"Vous êtes hors ligne maintenant")</f>
        <v>Vous êtes hors ligne maintenant</v>
      </c>
      <c r="F75" s="4" t="str">
        <f>IFERROR(__xludf.DUMMYFUNCTION("GOOGLETRANSLATE(B75,""en"",""tr"")"),"Şu anda çevrimdışısınız")</f>
        <v>Şu anda çevrimdışısınız</v>
      </c>
      <c r="G75" s="4" t="str">
        <f>IFERROR(__xludf.DUMMYFUNCTION("GOOGLETRANSLATE(B75,""en"",""ru"")"),"Вы сейчас не в сети")</f>
        <v>Вы сейчас не в сети</v>
      </c>
      <c r="H75" s="4" t="str">
        <f>IFERROR(__xludf.DUMMYFUNCTION("GOOGLETRANSLATE(B75,""en"",""it"")"),"Ora sei offline")</f>
        <v>Ora sei offline</v>
      </c>
      <c r="I75" s="4" t="str">
        <f>IFERROR(__xludf.DUMMYFUNCTION("GOOGLETRANSLATE(B75,""en"",""de"")"),"Du bist jetzt offline")</f>
        <v>Du bist jetzt offline</v>
      </c>
      <c r="J75" s="4" t="str">
        <f>IFERROR(__xludf.DUMMYFUNCTION("GOOGLETRANSLATE(B75,""en"",""ko"")"),"현재 오프라인 상태입니다")</f>
        <v>현재 오프라인 상태입니다</v>
      </c>
      <c r="K75" s="4" t="str">
        <f>IFERROR(__xludf.DUMMYFUNCTION("GOOGLETRANSLATE(B75,""en"",""zh"")"),"您现在处于离线状态")</f>
        <v>您现在处于离线状态</v>
      </c>
      <c r="L75" s="4" t="str">
        <f>IFERROR(__xludf.DUMMYFUNCTION("GOOGLETRANSLATE(B75,""en"",""es"")"),"Estás desconectado ahora")</f>
        <v>Estás desconectado ahora</v>
      </c>
      <c r="M75" s="4" t="str">
        <f>IFERROR(__xludf.DUMMYFUNCTION("GOOGLETRANSLATE(B75,""en"",""iw"")"),"אתה במצב לא מקוון עכשיו")</f>
        <v>אתה במצב לא מקוון עכשיו</v>
      </c>
      <c r="N75" s="4" t="str">
        <f>IFERROR(__xludf.DUMMYFUNCTION("GOOGLETRANSLATE(B75,""en"",""bn"")"),"আপনি এখন অফলাইন")</f>
        <v>আপনি এখন অফলাইন</v>
      </c>
      <c r="O75" s="4" t="str">
        <f>IFERROR(__xludf.DUMMYFUNCTION("GOOGLETRANSLATE(B75,""en"",""pt"")"),"Você está offline agora")</f>
        <v>Você está offline agora</v>
      </c>
    </row>
    <row r="76">
      <c r="A76" s="7" t="s">
        <v>225</v>
      </c>
      <c r="B76" s="10" t="s">
        <v>226</v>
      </c>
      <c r="C76" s="4" t="str">
        <f>IFERROR(__xludf.DUMMYFUNCTION("GOOGLETRANSLATE(B76,""en"",""hi"")"),"पहुंचने")</f>
        <v>पहुंचने</v>
      </c>
      <c r="D76" s="6" t="s">
        <v>227</v>
      </c>
      <c r="E76" s="4" t="str">
        <f>IFERROR(__xludf.DUMMYFUNCTION("GOOGLETRANSLATE(B76,""en"",""fr"")"),"Arrivée")</f>
        <v>Arrivée</v>
      </c>
      <c r="F76" s="4" t="str">
        <f>IFERROR(__xludf.DUMMYFUNCTION("GOOGLETRANSLATE(B76,""en"",""tr"")"),"Varış")</f>
        <v>Varış</v>
      </c>
      <c r="G76" s="4" t="str">
        <f>IFERROR(__xludf.DUMMYFUNCTION("GOOGLETRANSLATE(B76,""en"",""ru"")"),"Прибытие")</f>
        <v>Прибытие</v>
      </c>
      <c r="H76" s="4" t="str">
        <f>IFERROR(__xludf.DUMMYFUNCTION("GOOGLETRANSLATE(B76,""en"",""it"")"),"Arrivo")</f>
        <v>Arrivo</v>
      </c>
      <c r="I76" s="4" t="str">
        <f>IFERROR(__xludf.DUMMYFUNCTION("GOOGLETRANSLATE(B76,""en"",""de"")"),"Ankunft")</f>
        <v>Ankunft</v>
      </c>
      <c r="J76" s="4" t="str">
        <f>IFERROR(__xludf.DUMMYFUNCTION("GOOGLETRANSLATE(B76,""en"",""ko"")"),"도착")</f>
        <v>도착</v>
      </c>
      <c r="K76" s="4" t="str">
        <f>IFERROR(__xludf.DUMMYFUNCTION("GOOGLETRANSLATE(B76,""en"",""zh"")"),"到达")</f>
        <v>到达</v>
      </c>
      <c r="L76" s="4" t="str">
        <f>IFERROR(__xludf.DUMMYFUNCTION("GOOGLETRANSLATE(B76,""en"",""es"")"),"Llegando")</f>
        <v>Llegando</v>
      </c>
      <c r="M76" s="4" t="str">
        <f>IFERROR(__xludf.DUMMYFUNCTION("GOOGLETRANSLATE(B76,""en"",""iw"")"),"מגיע")</f>
        <v>מגיע</v>
      </c>
      <c r="N76" s="4" t="str">
        <f>IFERROR(__xludf.DUMMYFUNCTION("GOOGLETRANSLATE(B76,""en"",""bn"")"),"আগত")</f>
        <v>আগত</v>
      </c>
      <c r="O76" s="4" t="str">
        <f>IFERROR(__xludf.DUMMYFUNCTION("GOOGLETRANSLATE(B76,""en"",""pt"")"),"Chegando")</f>
        <v>Chegando</v>
      </c>
    </row>
    <row r="77">
      <c r="A77" s="7" t="s">
        <v>228</v>
      </c>
      <c r="B77" s="3" t="s">
        <v>229</v>
      </c>
      <c r="C77" s="4" t="str">
        <f>IFERROR(__xludf.DUMMYFUNCTION("GOOGLETRANSLATE(B77,""en"",""hi"")"),"गंतव्य तक पहुँचना")</f>
        <v>गंतव्य तक पहुँचना</v>
      </c>
      <c r="D77" s="6" t="s">
        <v>230</v>
      </c>
      <c r="E77" s="4" t="str">
        <f>IFERROR(__xludf.DUMMYFUNCTION("GOOGLETRANSLATE(B77,""en"",""fr"")"),"Atteindre la destination")</f>
        <v>Atteindre la destination</v>
      </c>
      <c r="F77" s="4" t="str">
        <f>IFERROR(__xludf.DUMMYFUNCTION("GOOGLETRANSLATE(B77,""en"",""tr"")"),"Hedefe Ulaşmak")</f>
        <v>Hedefe Ulaşmak</v>
      </c>
      <c r="G77" s="4" t="str">
        <f>IFERROR(__xludf.DUMMYFUNCTION("GOOGLETRANSLATE(B77,""en"",""ru"")"),"Достижение цели")</f>
        <v>Достижение цели</v>
      </c>
      <c r="H77" s="4" t="str">
        <f>IFERROR(__xludf.DUMMYFUNCTION("GOOGLETRANSLATE(B77,""en"",""it"")"),"Raggiungere la destinazione")</f>
        <v>Raggiungere la destinazione</v>
      </c>
      <c r="I77" s="4" t="str">
        <f>IFERROR(__xludf.DUMMYFUNCTION("GOOGLETRANSLATE(B77,""en"",""de"")"),"Ziel erreichen")</f>
        <v>Ziel erreichen</v>
      </c>
      <c r="J77" s="4" t="str">
        <f>IFERROR(__xludf.DUMMYFUNCTION("GOOGLETRANSLATE(B77,""en"",""ko"")"),"목적지에 도달하다")</f>
        <v>목적지에 도달하다</v>
      </c>
      <c r="K77" s="4" t="str">
        <f>IFERROR(__xludf.DUMMYFUNCTION("GOOGLETRANSLATE(B77,""en"",""zh"")"),"到达目的地")</f>
        <v>到达目的地</v>
      </c>
      <c r="L77" s="4" t="str">
        <f>IFERROR(__xludf.DUMMYFUNCTION("GOOGLETRANSLATE(B77,""en"",""es"")"),"Alcanzando el destino")</f>
        <v>Alcanzando el destino</v>
      </c>
      <c r="M77" s="4" t="str">
        <f>IFERROR(__xludf.DUMMYFUNCTION("GOOGLETRANSLATE(B77,""en"",""iw"")"),"הגעה ליעד")</f>
        <v>הגעה ליעד</v>
      </c>
      <c r="N77" s="4" t="str">
        <f>IFERROR(__xludf.DUMMYFUNCTION("GOOGLETRANSLATE(B77,""en"",""bn"")"),"গন্তব্যে পৌঁছানো")</f>
        <v>গন্তব্যে পৌঁছানো</v>
      </c>
      <c r="O77" s="4" t="str">
        <f>IFERROR(__xludf.DUMMYFUNCTION("GOOGLETRANSLATE(B77,""en"",""pt"")"),"Alcançando o destino")</f>
        <v>Alcançando o destino</v>
      </c>
    </row>
    <row r="78">
      <c r="A78" s="7" t="s">
        <v>231</v>
      </c>
      <c r="B78" s="3" t="s">
        <v>232</v>
      </c>
      <c r="C78" s="4" t="str">
        <f>IFERROR(__xludf.DUMMYFUNCTION("GOOGLETRANSLATE(B78,""en"",""hi"")"),"सवारी शुरू करें")</f>
        <v>सवारी शुरू करें</v>
      </c>
      <c r="D78" s="6" t="s">
        <v>233</v>
      </c>
      <c r="E78" s="4" t="str">
        <f>IFERROR(__xludf.DUMMYFUNCTION("GOOGLETRANSLATE(B78,""en"",""fr"")"),"Démarrer la course")</f>
        <v>Démarrer la course</v>
      </c>
      <c r="F78" s="4" t="str">
        <f>IFERROR(__xludf.DUMMYFUNCTION("GOOGLETRANSLATE(B78,""en"",""tr"")"),"Sürüşe Başla")</f>
        <v>Sürüşe Başla</v>
      </c>
      <c r="G78" s="4" t="str">
        <f>IFERROR(__xludf.DUMMYFUNCTION("GOOGLETRANSLATE(B78,""en"",""ru"")"),"Начать поездку")</f>
        <v>Начать поездку</v>
      </c>
      <c r="H78" s="4" t="str">
        <f>IFERROR(__xludf.DUMMYFUNCTION("GOOGLETRANSLATE(B78,""en"",""it"")"),"Inizia il giro")</f>
        <v>Inizia il giro</v>
      </c>
      <c r="I78" s="4" t="str">
        <f>IFERROR(__xludf.DUMMYFUNCTION("GOOGLETRANSLATE(B78,""en"",""de"")"),"Fahrt starten")</f>
        <v>Fahrt starten</v>
      </c>
      <c r="J78" s="4" t="str">
        <f>IFERROR(__xludf.DUMMYFUNCTION("GOOGLETRANSLATE(B78,""en"",""ko"")"),"라이드 시작")</f>
        <v>라이드 시작</v>
      </c>
      <c r="K78" s="4" t="str">
        <f>IFERROR(__xludf.DUMMYFUNCTION("GOOGLETRANSLATE(B78,""en"",""zh"")"),"开始骑行")</f>
        <v>开始骑行</v>
      </c>
      <c r="L78" s="4" t="str">
        <f>IFERROR(__xludf.DUMMYFUNCTION("GOOGLETRANSLATE(B78,""en"",""es"")"),"Iniciar viaje")</f>
        <v>Iniciar viaje</v>
      </c>
      <c r="M78" s="4" t="str">
        <f>IFERROR(__xludf.DUMMYFUNCTION("GOOGLETRANSLATE(B78,""en"",""iw"")"),"התחל רכיבה")</f>
        <v>התחל רכיבה</v>
      </c>
      <c r="N78" s="4" t="str">
        <f>IFERROR(__xludf.DUMMYFUNCTION("GOOGLETRANSLATE(B78,""en"",""bn"")"),"যাত্রা শুরু করুন")</f>
        <v>যাত্রা শুরু করুন</v>
      </c>
      <c r="O78" s="4" t="str">
        <f>IFERROR(__xludf.DUMMYFUNCTION("GOOGLETRANSLATE(B78,""en"",""pt"")"),"Iniciar passeio")</f>
        <v>Iniciar passeio</v>
      </c>
    </row>
    <row r="79">
      <c r="A79" s="7" t="s">
        <v>234</v>
      </c>
      <c r="B79" s="3" t="s">
        <v>235</v>
      </c>
      <c r="C79" s="4" t="str">
        <f>IFERROR(__xludf.DUMMYFUNCTION("GOOGLETRANSLATE(B79,""en"",""hi"")"),"यात्रा समाप्त")</f>
        <v>यात्रा समाप्त</v>
      </c>
      <c r="D79" s="6" t="s">
        <v>236</v>
      </c>
      <c r="E79" s="4" t="str">
        <f>IFERROR(__xludf.DUMMYFUNCTION("GOOGLETRANSLATE(B79,""en"",""fr"")"),"Fin du voyage")</f>
        <v>Fin du voyage</v>
      </c>
      <c r="F79" s="4" t="str">
        <f>IFERROR(__xludf.DUMMYFUNCTION("GOOGLETRANSLATE(B79,""en"",""tr"")"),"Son Yolculuk")</f>
        <v>Son Yolculuk</v>
      </c>
      <c r="G79" s="4" t="str">
        <f>IFERROR(__xludf.DUMMYFUNCTION("GOOGLETRANSLATE(B79,""en"",""ru"")"),"Конец поездки")</f>
        <v>Конец поездки</v>
      </c>
      <c r="H79" s="4" t="str">
        <f>IFERROR(__xludf.DUMMYFUNCTION("GOOGLETRANSLATE(B79,""en"",""it"")"),"Fine del viaggio")</f>
        <v>Fine del viaggio</v>
      </c>
      <c r="I79" s="4" t="str">
        <f>IFERROR(__xludf.DUMMYFUNCTION("GOOGLETRANSLATE(B79,""en"",""de"")"),"Reise beenden")</f>
        <v>Reise beenden</v>
      </c>
      <c r="J79" s="4" t="str">
        <f>IFERROR(__xludf.DUMMYFUNCTION("GOOGLETRANSLATE(B79,""en"",""ko"")"),"여행 종료")</f>
        <v>여행 종료</v>
      </c>
      <c r="K79" s="4" t="str">
        <f>IFERROR(__xludf.DUMMYFUNCTION("GOOGLETRANSLATE(B79,""en"",""zh"")"),"结束旅程")</f>
        <v>结束旅程</v>
      </c>
      <c r="L79" s="4" t="str">
        <f>IFERROR(__xludf.DUMMYFUNCTION("GOOGLETRANSLATE(B79,""en"",""es"")"),"Fin del viaje")</f>
        <v>Fin del viaje</v>
      </c>
      <c r="M79" s="4" t="str">
        <f>IFERROR(__xludf.DUMMYFUNCTION("GOOGLETRANSLATE(B79,""en"",""iw"")"),"טיול סוף")</f>
        <v>טיול סוף</v>
      </c>
      <c r="N79" s="4" t="str">
        <f>IFERROR(__xludf.DUMMYFUNCTION("GOOGLETRANSLATE(B79,""en"",""bn"")"),"ট্রিপ শেষ করুন")</f>
        <v>ট্রিপ শেষ করুন</v>
      </c>
      <c r="O79" s="4" t="str">
        <f>IFERROR(__xludf.DUMMYFUNCTION("GOOGLETRANSLATE(B79,""en"",""pt"")"),"Fim da viagem")</f>
        <v>Fim da viagem</v>
      </c>
    </row>
    <row r="80">
      <c r="A80" s="7" t="s">
        <v>237</v>
      </c>
      <c r="B80" s="3" t="s">
        <v>238</v>
      </c>
      <c r="C80" s="4" t="str">
        <f>IFERROR(__xludf.DUMMYFUNCTION("GOOGLETRANSLATE(B80,""en"",""hi"")"),"ओटीपी दर्ज करें")</f>
        <v>ओटीपी दर्ज करें</v>
      </c>
      <c r="D80" s="6" t="s">
        <v>239</v>
      </c>
      <c r="E80" s="4" t="str">
        <f>IFERROR(__xludf.DUMMYFUNCTION("GOOGLETRANSLATE(B80,""en"",""fr"")"),"Entrez OTP")</f>
        <v>Entrez OTP</v>
      </c>
      <c r="F80" s="4" t="str">
        <f>IFERROR(__xludf.DUMMYFUNCTION("GOOGLETRANSLATE(B80,""en"",""tr"")"),"OTP'yi girin")</f>
        <v>OTP'yi girin</v>
      </c>
      <c r="G80" s="4" t="str">
        <f>IFERROR(__xludf.DUMMYFUNCTION("GOOGLETRANSLATE(B80,""en"",""ru"")"),"Введите OTP")</f>
        <v>Введите OTP</v>
      </c>
      <c r="H80" s="4" t="str">
        <f>IFERROR(__xludf.DUMMYFUNCTION("GOOGLETRANSLATE(B80,""en"",""it"")"),"Inserisci OTP")</f>
        <v>Inserisci OTP</v>
      </c>
      <c r="I80" s="4" t="str">
        <f>IFERROR(__xludf.DUMMYFUNCTION("GOOGLETRANSLATE(B80,""en"",""de"")"),"OTP eingeben")</f>
        <v>OTP eingeben</v>
      </c>
      <c r="J80" s="4" t="str">
        <f>IFERROR(__xludf.DUMMYFUNCTION("GOOGLETRANSLATE(B80,""en"",""ko"")"),"OTP를 입력하세요")</f>
        <v>OTP를 입력하세요</v>
      </c>
      <c r="K80" s="4" t="str">
        <f>IFERROR(__xludf.DUMMYFUNCTION("GOOGLETRANSLATE(B80,""en"",""zh"")"),"输入 OTP")</f>
        <v>输入 OTP</v>
      </c>
      <c r="L80" s="4" t="str">
        <f>IFERROR(__xludf.DUMMYFUNCTION("GOOGLETRANSLATE(B80,""en"",""es"")"),"Introducir OTP")</f>
        <v>Introducir OTP</v>
      </c>
      <c r="M80" s="4" t="str">
        <f>IFERROR(__xludf.DUMMYFUNCTION("GOOGLETRANSLATE(B80,""en"",""iw"")"),"הזן OTP")</f>
        <v>הזן OTP</v>
      </c>
      <c r="N80" s="4" t="str">
        <f>IFERROR(__xludf.DUMMYFUNCTION("GOOGLETRANSLATE(B80,""en"",""bn"")"),"OTP লিখুন")</f>
        <v>OTP লিখুন</v>
      </c>
      <c r="O80" s="4" t="str">
        <f>IFERROR(__xludf.DUMMYFUNCTION("GOOGLETRANSLATE(B80,""en"",""pt"")"),"Digite OTP")</f>
        <v>Digite OTP</v>
      </c>
    </row>
    <row r="81">
      <c r="A81" s="7" t="s">
        <v>240</v>
      </c>
      <c r="B81" s="3" t="s">
        <v>241</v>
      </c>
      <c r="C81" s="4" t="str">
        <f>IFERROR(__xludf.DUMMYFUNCTION("GOOGLETRANSLATE(B81,""en"",""hi"")"),"सवारी शुरू करने के लिए ग्राहक के ऐप में प्रदर्शित ओटीपी दर्ज करें")</f>
        <v>सवारी शुरू करने के लिए ग्राहक के ऐप में प्रदर्शित ओटीपी दर्ज करें</v>
      </c>
      <c r="D81" s="6" t="s">
        <v>242</v>
      </c>
      <c r="E81" s="4" t="str">
        <f>IFERROR(__xludf.DUMMYFUNCTION("GOOGLETRANSLATE(B81,""en"",""fr"")"),"Saisissez l'OTP affiché dans l'application client pour démarrer la course")</f>
        <v>Saisissez l'OTP affiché dans l'application client pour démarrer la course</v>
      </c>
      <c r="F81" s="4" t="str">
        <f>IFERROR(__xludf.DUMMYFUNCTION("GOOGLETRANSLATE(B81,""en"",""tr"")"),"Yolculuğu başlatmak için Müşterinin Uygulamasında görüntülenen OTP'yi girin")</f>
        <v>Yolculuğu başlatmak için Müşterinin Uygulamasında görüntülenen OTP'yi girin</v>
      </c>
      <c r="G81" s="4" t="str">
        <f>IFERROR(__xludf.DUMMYFUNCTION("GOOGLETRANSLATE(B81,""en"",""ru"")"),"Введите одноразовый пароль, отображаемый в приложении клиента, чтобы начать поездку.")</f>
        <v>Введите одноразовый пароль, отображаемый в приложении клиента, чтобы начать поездку.</v>
      </c>
      <c r="H81" s="4" t="str">
        <f>IFERROR(__xludf.DUMMYFUNCTION("GOOGLETRANSLATE(B81,""en"",""it"")"),"Inserisci l'OTP visualizzato nell'app del cliente per iniziare la corsa")</f>
        <v>Inserisci l'OTP visualizzato nell'app del cliente per iniziare la corsa</v>
      </c>
      <c r="I81" s="4" t="str">
        <f>IFERROR(__xludf.DUMMYFUNCTION("GOOGLETRANSLATE(B81,""en"",""de"")"),"Geben Sie das in der Kunden-App angezeigte OTP ein, um die Fahrt zu beginnen")</f>
        <v>Geben Sie das in der Kunden-App angezeigte OTP ein, um die Fahrt zu beginnen</v>
      </c>
      <c r="J81" s="4" t="str">
        <f>IFERROR(__xludf.DUMMYFUNCTION("GOOGLETRANSLATE(B81,""en"",""ko"")"),"고객 앱에 표시된 OTP를 입력하여 탑승을 시작하세요.")</f>
        <v>고객 앱에 표시된 OTP를 입력하여 탑승을 시작하세요.</v>
      </c>
      <c r="K81" s="4" t="str">
        <f>IFERROR(__xludf.DUMMYFUNCTION("GOOGLETRANSLATE(B81,""en"",""zh"")"),"输入客户应用程序中显示的 OTP 即可开始乘车")</f>
        <v>输入客户应用程序中显示的 OTP 即可开始乘车</v>
      </c>
      <c r="L81" s="4" t="str">
        <f>IFERROR(__xludf.DUMMYFUNCTION("GOOGLETRANSLATE(B81,""en"",""es"")"),"Ingresa el OTP que se muestra en la aplicación del cliente para iniciar el viaje")</f>
        <v>Ingresa el OTP que se muestra en la aplicación del cliente para iniciar el viaje</v>
      </c>
      <c r="M81" s="4" t="str">
        <f>IFERROR(__xludf.DUMMYFUNCTION("GOOGLETRANSLATE(B81,""en"",""iw"")"),"הזן את ה-OTP המוצג באפליקציה של הלקוח כדי להתחיל את הנסיעה")</f>
        <v>הזן את ה-OTP המוצג באפליקציה של הלקוח כדי להתחיל את הנסיעה</v>
      </c>
      <c r="N81" s="4" t="str">
        <f>IFERROR(__xludf.DUMMYFUNCTION("GOOGLETRANSLATE(B81,""en"",""bn"")"),"রাইড শুরু করতে গ্রাহকের অ্যাপে প্রদর্শিত OTP লিখুন")</f>
        <v>রাইড শুরু করতে গ্রাহকের অ্যাপে প্রদর্শিত OTP লিখুন</v>
      </c>
      <c r="O81" s="4" t="str">
        <f>IFERROR(__xludf.DUMMYFUNCTION("GOOGLETRANSLATE(B81,""en"",""pt"")"),"Digite o OTP exibido no aplicativo do cliente para iniciar a viagem")</f>
        <v>Digite o OTP exibido no aplicativo do cliente para iniciar a viagem</v>
      </c>
    </row>
    <row r="82">
      <c r="A82" s="11" t="s">
        <v>243</v>
      </c>
      <c r="B82" s="3" t="s">
        <v>244</v>
      </c>
      <c r="C82" s="4" t="str">
        <f>IFERROR(__xludf.DUMMYFUNCTION("GOOGLETRANSLATE(B82,""en"",""hi"")"),"इतिहास")</f>
        <v>इतिहास</v>
      </c>
      <c r="D82" s="6" t="s">
        <v>245</v>
      </c>
      <c r="E82" s="4" t="str">
        <f>IFERROR(__xludf.DUMMYFUNCTION("GOOGLETRANSLATE(B82,""en"",""fr"")"),"Histoire")</f>
        <v>Histoire</v>
      </c>
      <c r="F82" s="4" t="str">
        <f>IFERROR(__xludf.DUMMYFUNCTION("GOOGLETRANSLATE(B82,""en"",""tr"")"),"Tarih")</f>
        <v>Tarih</v>
      </c>
      <c r="G82" s="4" t="str">
        <f>IFERROR(__xludf.DUMMYFUNCTION("GOOGLETRANSLATE(B82,""en"",""ru"")"),"История")</f>
        <v>История</v>
      </c>
      <c r="H82" s="4" t="str">
        <f>IFERROR(__xludf.DUMMYFUNCTION("GOOGLETRANSLATE(B82,""en"",""it"")"),"Storia")</f>
        <v>Storia</v>
      </c>
      <c r="I82" s="4" t="str">
        <f>IFERROR(__xludf.DUMMYFUNCTION("GOOGLETRANSLATE(B82,""en"",""de"")"),"Geschichte")</f>
        <v>Geschichte</v>
      </c>
      <c r="J82" s="4" t="str">
        <f>IFERROR(__xludf.DUMMYFUNCTION("GOOGLETRANSLATE(B82,""en"",""ko"")"),"역사")</f>
        <v>역사</v>
      </c>
      <c r="K82" s="4" t="str">
        <f>IFERROR(__xludf.DUMMYFUNCTION("GOOGLETRANSLATE(B82,""en"",""zh"")"),"历史")</f>
        <v>历史</v>
      </c>
      <c r="L82" s="4" t="str">
        <f>IFERROR(__xludf.DUMMYFUNCTION("GOOGLETRANSLATE(B82,""en"",""es"")"),"Historia")</f>
        <v>Historia</v>
      </c>
      <c r="M82" s="4" t="str">
        <f>IFERROR(__xludf.DUMMYFUNCTION("GOOGLETRANSLATE(B82,""en"",""iw"")"),"הִיסטוֹרִיָה")</f>
        <v>הִיסטוֹרִיָה</v>
      </c>
      <c r="N82" s="4" t="str">
        <f>IFERROR(__xludf.DUMMYFUNCTION("GOOGLETRANSLATE(B82,""en"",""bn"")"),"ইতিহাস")</f>
        <v>ইতিহাস</v>
      </c>
      <c r="O82" s="4" t="str">
        <f>IFERROR(__xludf.DUMMYFUNCTION("GOOGLETRANSLATE(B82,""en"",""pt"")"),"História")</f>
        <v>História</v>
      </c>
    </row>
    <row r="83">
      <c r="A83" s="11" t="s">
        <v>246</v>
      </c>
      <c r="B83" s="3" t="s">
        <v>247</v>
      </c>
      <c r="C83" s="4" t="str">
        <f>IFERROR(__xludf.DUMMYFUNCTION("GOOGLETRANSLATE(B83,""en"",""hi"")"),"बटुआ")</f>
        <v>बटुआ</v>
      </c>
      <c r="D83" s="6" t="s">
        <v>248</v>
      </c>
      <c r="E83" s="4" t="str">
        <f>IFERROR(__xludf.DUMMYFUNCTION("GOOGLETRANSLATE(B83,""en"",""fr"")"),"Portefeuille")</f>
        <v>Portefeuille</v>
      </c>
      <c r="F83" s="4" t="str">
        <f>IFERROR(__xludf.DUMMYFUNCTION("GOOGLETRANSLATE(B83,""en"",""tr"")"),"Cüzdan")</f>
        <v>Cüzdan</v>
      </c>
      <c r="G83" s="4" t="str">
        <f>IFERROR(__xludf.DUMMYFUNCTION("GOOGLETRANSLATE(B83,""en"",""ru"")"),"Кошелек")</f>
        <v>Кошелек</v>
      </c>
      <c r="H83" s="4" t="str">
        <f>IFERROR(__xludf.DUMMYFUNCTION("GOOGLETRANSLATE(B83,""en"",""it"")"),"Portafoglio")</f>
        <v>Portafoglio</v>
      </c>
      <c r="I83" s="4" t="str">
        <f>IFERROR(__xludf.DUMMYFUNCTION("GOOGLETRANSLATE(B83,""en"",""de"")"),"Geldbörse")</f>
        <v>Geldbörse</v>
      </c>
      <c r="J83" s="4" t="str">
        <f>IFERROR(__xludf.DUMMYFUNCTION("GOOGLETRANSLATE(B83,""en"",""ko"")"),"지갑")</f>
        <v>지갑</v>
      </c>
      <c r="K83" s="4" t="str">
        <f>IFERROR(__xludf.DUMMYFUNCTION("GOOGLETRANSLATE(B83,""en"",""zh"")"),"钱包")</f>
        <v>钱包</v>
      </c>
      <c r="L83" s="4" t="str">
        <f>IFERROR(__xludf.DUMMYFUNCTION("GOOGLETRANSLATE(B83,""en"",""es"")"),"Billetera")</f>
        <v>Billetera</v>
      </c>
      <c r="M83" s="4" t="str">
        <f>IFERROR(__xludf.DUMMYFUNCTION("GOOGLETRANSLATE(B83,""en"",""iw"")"),"אַרְנָק")</f>
        <v>אַרְנָק</v>
      </c>
      <c r="N83" s="4" t="str">
        <f>IFERROR(__xludf.DUMMYFUNCTION("GOOGLETRANSLATE(B83,""en"",""bn"")"),"ওয়ালেট")</f>
        <v>ওয়ালেট</v>
      </c>
      <c r="O83" s="4" t="str">
        <f>IFERROR(__xludf.DUMMYFUNCTION("GOOGLETRANSLATE(B83,""en"",""pt"")"),"Carteira")</f>
        <v>Carteira</v>
      </c>
    </row>
    <row r="84">
      <c r="A84" s="11" t="s">
        <v>249</v>
      </c>
      <c r="B84" s="3" t="s">
        <v>250</v>
      </c>
      <c r="C84" s="4" t="str">
        <f>IFERROR(__xludf.DUMMYFUNCTION("GOOGLETRANSLATE(B84,""en"",""hi"")"),"रेफ़रल")</f>
        <v>रेफ़रल</v>
      </c>
      <c r="D84" s="4" t="str">
        <f>IFERROR(__xludf.DUMMYFUNCTION("GOOGLETRANSLATE(B84,""en"",""ar"")"),"الإحالة")</f>
        <v>الإحالة</v>
      </c>
      <c r="E84" s="4" t="str">
        <f>IFERROR(__xludf.DUMMYFUNCTION("GOOGLETRANSLATE(B84,""en"",""fr"")"),"Orientation")</f>
        <v>Orientation</v>
      </c>
      <c r="F84" s="4" t="str">
        <f>IFERROR(__xludf.DUMMYFUNCTION("GOOGLETRANSLATE(B84,""en"",""tr"")"),"Yönlendirme")</f>
        <v>Yönlendirme</v>
      </c>
      <c r="G84" s="4" t="str">
        <f>IFERROR(__xludf.DUMMYFUNCTION("GOOGLETRANSLATE(B84,""en"",""ru"")"),"Направление")</f>
        <v>Направление</v>
      </c>
      <c r="H84" s="4" t="str">
        <f>IFERROR(__xludf.DUMMYFUNCTION("GOOGLETRANSLATE(B84,""en"",""it"")"),"Riferimento")</f>
        <v>Riferimento</v>
      </c>
      <c r="I84" s="4" t="str">
        <f>IFERROR(__xludf.DUMMYFUNCTION("GOOGLETRANSLATE(B84,""en"",""de"")"),"Verweisung")</f>
        <v>Verweisung</v>
      </c>
      <c r="J84" s="4" t="str">
        <f>IFERROR(__xludf.DUMMYFUNCTION("GOOGLETRANSLATE(B84,""en"",""ko"")"),"추천")</f>
        <v>추천</v>
      </c>
      <c r="K84" s="4" t="str">
        <f>IFERROR(__xludf.DUMMYFUNCTION("GOOGLETRANSLATE(B84,""en"",""zh"")"),"推荐")</f>
        <v>推荐</v>
      </c>
      <c r="L84" s="4" t="str">
        <f>IFERROR(__xludf.DUMMYFUNCTION("GOOGLETRANSLATE(B84,""en"",""es"")"),"Remisión")</f>
        <v>Remisión</v>
      </c>
      <c r="M84" s="4" t="str">
        <f>IFERROR(__xludf.DUMMYFUNCTION("GOOGLETRANSLATE(B84,""en"",""iw"")"),"הפניה")</f>
        <v>הפניה</v>
      </c>
      <c r="N84" s="4" t="str">
        <f>IFERROR(__xludf.DUMMYFUNCTION("GOOGLETRANSLATE(B84,""en"",""bn"")"),"রেফারেল")</f>
        <v>রেফারেল</v>
      </c>
      <c r="O84" s="4" t="str">
        <f>IFERROR(__xludf.DUMMYFUNCTION("GOOGLETRANSLATE(B84,""en"",""pt"")"),"Encaminhamento")</f>
        <v>Encaminhamento</v>
      </c>
    </row>
    <row r="85">
      <c r="A85" s="11" t="s">
        <v>251</v>
      </c>
      <c r="B85" s="3" t="s">
        <v>252</v>
      </c>
      <c r="C85" s="4" t="str">
        <f>IFERROR(__xludf.DUMMYFUNCTION("GOOGLETRANSLATE(B85,""en"",""hi"")"),"अक्सर पूछे जाने वाले प्रश्न")</f>
        <v>अक्सर पूछे जाने वाले प्रश्न</v>
      </c>
      <c r="D85" s="6" t="s">
        <v>253</v>
      </c>
      <c r="E85" s="4" t="str">
        <f>IFERROR(__xludf.DUMMYFUNCTION("GOOGLETRANSLATE(B85,""en"",""fr"")"),"FAQ")</f>
        <v>FAQ</v>
      </c>
      <c r="F85" s="4" t="str">
        <f>IFERROR(__xludf.DUMMYFUNCTION("GOOGLETRANSLATE(B85,""en"",""tr"")"),"SSS")</f>
        <v>SSS</v>
      </c>
      <c r="G85" s="4" t="str">
        <f>IFERROR(__xludf.DUMMYFUNCTION("GOOGLETRANSLATE(B85,""en"",""ru"")"),"Часто задаваемые вопросы")</f>
        <v>Часто задаваемые вопросы</v>
      </c>
      <c r="H85" s="4" t="str">
        <f>IFERROR(__xludf.DUMMYFUNCTION("GOOGLETRANSLATE(B85,""en"",""it"")"),"Domande frequenti")</f>
        <v>Domande frequenti</v>
      </c>
      <c r="I85" s="4" t="str">
        <f>IFERROR(__xludf.DUMMYFUNCTION("GOOGLETRANSLATE(B85,""en"",""de"")"),"Häufig gestellte Fragen")</f>
        <v>Häufig gestellte Fragen</v>
      </c>
      <c r="J85" s="4" t="str">
        <f>IFERROR(__xludf.DUMMYFUNCTION("GOOGLETRANSLATE(B85,""en"",""ko"")"),"자주 묻는 질문")</f>
        <v>자주 묻는 질문</v>
      </c>
      <c r="K85" s="4" t="str">
        <f>IFERROR(__xludf.DUMMYFUNCTION("GOOGLETRANSLATE(B85,""en"",""zh"")"),"常问问题")</f>
        <v>常问问题</v>
      </c>
      <c r="L85" s="4" t="str">
        <f>IFERROR(__xludf.DUMMYFUNCTION("GOOGLETRANSLATE(B85,""en"",""es"")"),"Preguntas frecuentes")</f>
        <v>Preguntas frecuentes</v>
      </c>
      <c r="M85" s="4" t="str">
        <f>IFERROR(__xludf.DUMMYFUNCTION("GOOGLETRANSLATE(B85,""en"",""iw"")"),"שאלות נפוצות")</f>
        <v>שאלות נפוצות</v>
      </c>
      <c r="N85" s="4" t="str">
        <f>IFERROR(__xludf.DUMMYFUNCTION("GOOGLETRANSLATE(B85,""en"",""bn"")"),"FAQ")</f>
        <v>FAQ</v>
      </c>
      <c r="O85" s="4" t="str">
        <f>IFERROR(__xludf.DUMMYFUNCTION("GOOGLETRANSLATE(B85,""en"",""pt"")"),"Perguntas frequentes")</f>
        <v>Perguntas frequentes</v>
      </c>
    </row>
    <row r="86">
      <c r="A86" s="11" t="s">
        <v>254</v>
      </c>
      <c r="B86" s="3" t="s">
        <v>255</v>
      </c>
      <c r="C86" s="4" t="str">
        <f>IFERROR(__xludf.DUMMYFUNCTION("GOOGLETRANSLATE(B86,""en"",""hi"")"),"मुसीबत का इशारा")</f>
        <v>मुसीबत का इशारा</v>
      </c>
      <c r="D86" s="4" t="s">
        <v>255</v>
      </c>
      <c r="E86" s="4" t="str">
        <f>IFERROR(__xludf.DUMMYFUNCTION("GOOGLETRANSLATE(B86,""en"",""fr"")"),"SOS")</f>
        <v>SOS</v>
      </c>
      <c r="F86" s="4" t="str">
        <f>IFERROR(__xludf.DUMMYFUNCTION("GOOGLETRANSLATE(B86,""en"",""tr"")"),"s.o.s.")</f>
        <v>s.o.s.</v>
      </c>
      <c r="G86" s="4" t="str">
        <f>IFERROR(__xludf.DUMMYFUNCTION("GOOGLETRANSLATE(B86,""en"",""ru"")"),"SOS")</f>
        <v>SOS</v>
      </c>
      <c r="H86" s="4" t="str">
        <f>IFERROR(__xludf.DUMMYFUNCTION("GOOGLETRANSLATE(B86,""en"",""it"")"),"sos")</f>
        <v>sos</v>
      </c>
      <c r="I86" s="4" t="str">
        <f>IFERROR(__xludf.DUMMYFUNCTION("GOOGLETRANSLATE(B86,""en"",""de"")"),"SOS")</f>
        <v>SOS</v>
      </c>
      <c r="J86" s="4" t="str">
        <f>IFERROR(__xludf.DUMMYFUNCTION("GOOGLETRANSLATE(B86,""en"",""ko"")"),"위급 신호")</f>
        <v>위급 신호</v>
      </c>
      <c r="K86" s="4" t="str">
        <f>IFERROR(__xludf.DUMMYFUNCTION("GOOGLETRANSLATE(B86,""en"",""zh"")"),"紧急求救")</f>
        <v>紧急求救</v>
      </c>
      <c r="L86" s="4" t="str">
        <f>IFERROR(__xludf.DUMMYFUNCTION("GOOGLETRANSLATE(B86,""en"",""es"")"),"LLAMADA DE SOCORRO")</f>
        <v>LLAMADA DE SOCORRO</v>
      </c>
      <c r="M86" s="4" t="str">
        <f>IFERROR(__xludf.DUMMYFUNCTION("GOOGLETRANSLATE(B86,""en"",""iw"")"),"הַצִילוּ")</f>
        <v>הַצִילוּ</v>
      </c>
      <c r="N86" s="4" t="str">
        <f>IFERROR(__xludf.DUMMYFUNCTION("GOOGLETRANSLATE(B86,""en"",""bn"")"),"এসওএস")</f>
        <v>এসওএস</v>
      </c>
      <c r="O86" s="4" t="str">
        <f>IFERROR(__xludf.DUMMYFUNCTION("GOOGLETRANSLATE(B86,""en"",""pt"")"),"SOS")</f>
        <v>SOS</v>
      </c>
    </row>
    <row r="87">
      <c r="A87" s="7" t="s">
        <v>256</v>
      </c>
      <c r="B87" s="3" t="s">
        <v>257</v>
      </c>
      <c r="C87" s="4" t="str">
        <f>IFERROR(__xludf.DUMMYFUNCTION("GOOGLETRANSLATE(B87,""en"",""hi"")"),"भाषा बदलें")</f>
        <v>भाषा बदलें</v>
      </c>
      <c r="D87" s="6" t="s">
        <v>258</v>
      </c>
      <c r="E87" s="4" t="str">
        <f>IFERROR(__xludf.DUMMYFUNCTION("GOOGLETRANSLATE(B87,""en"",""fr"")"),"Changer de langue")</f>
        <v>Changer de langue</v>
      </c>
      <c r="F87" s="4" t="str">
        <f>IFERROR(__xludf.DUMMYFUNCTION("GOOGLETRANSLATE(B87,""en"",""tr"")"),"Dili Değiştir")</f>
        <v>Dili Değiştir</v>
      </c>
      <c r="G87" s="4" t="str">
        <f>IFERROR(__xludf.DUMMYFUNCTION("GOOGLETRANSLATE(B87,""en"",""ru"")"),"Изменить язык")</f>
        <v>Изменить язык</v>
      </c>
      <c r="H87" s="4" t="str">
        <f>IFERROR(__xludf.DUMMYFUNCTION("GOOGLETRANSLATE(B87,""en"",""it"")"),"Cambia lingua")</f>
        <v>Cambia lingua</v>
      </c>
      <c r="I87" s="4" t="str">
        <f>IFERROR(__xludf.DUMMYFUNCTION("GOOGLETRANSLATE(B87,""en"",""de"")"),"Sprache ändern")</f>
        <v>Sprache ändern</v>
      </c>
      <c r="J87" s="4" t="str">
        <f>IFERROR(__xludf.DUMMYFUNCTION("GOOGLETRANSLATE(B87,""en"",""ko"")"),"언어 변경")</f>
        <v>언어 변경</v>
      </c>
      <c r="K87" s="4" t="str">
        <f>IFERROR(__xludf.DUMMYFUNCTION("GOOGLETRANSLATE(B87,""en"",""zh"")"),"更改语言")</f>
        <v>更改语言</v>
      </c>
      <c r="L87" s="4" t="str">
        <f>IFERROR(__xludf.DUMMYFUNCTION("GOOGLETRANSLATE(B87,""en"",""es"")"),"Cambiar idioma")</f>
        <v>Cambiar idioma</v>
      </c>
      <c r="M87" s="4" t="str">
        <f>IFERROR(__xludf.DUMMYFUNCTION("GOOGLETRANSLATE(B87,""en"",""iw"")"),"שנה שפה")</f>
        <v>שנה שפה</v>
      </c>
      <c r="N87" s="4" t="str">
        <f>IFERROR(__xludf.DUMMYFUNCTION("GOOGLETRANSLATE(B87,""en"",""bn"")"),"ভাষা পরিবর্তন করুন")</f>
        <v>ভাষা পরিবর্তন করুন</v>
      </c>
      <c r="O87" s="4" t="str">
        <f>IFERROR(__xludf.DUMMYFUNCTION("GOOGLETRANSLATE(B87,""en"",""pt"")"),"Alterar idioma")</f>
        <v>Alterar idioma</v>
      </c>
    </row>
    <row r="88">
      <c r="A88" s="12" t="s">
        <v>259</v>
      </c>
      <c r="B88" s="13" t="s">
        <v>260</v>
      </c>
      <c r="C88" s="4" t="str">
        <f>IFERROR(__xludf.DUMMYFUNCTION("GOOGLETRANSLATE(B88,""en"",""hi"")"),"के बारे में")</f>
        <v>के बारे में</v>
      </c>
      <c r="D88" s="6" t="s">
        <v>261</v>
      </c>
      <c r="E88" s="4" t="str">
        <f>IFERROR(__xludf.DUMMYFUNCTION("GOOGLETRANSLATE(B88,""en"",""fr"")"),"À propos")</f>
        <v>À propos</v>
      </c>
      <c r="F88" s="4" t="str">
        <f>IFERROR(__xludf.DUMMYFUNCTION("GOOGLETRANSLATE(B88,""en"",""tr"")"),"Hakkında")</f>
        <v>Hakkında</v>
      </c>
      <c r="G88" s="4" t="str">
        <f>IFERROR(__xludf.DUMMYFUNCTION("GOOGLETRANSLATE(B88,""en"",""ru"")"),"О")</f>
        <v>О</v>
      </c>
      <c r="H88" s="4" t="str">
        <f>IFERROR(__xludf.DUMMYFUNCTION("GOOGLETRANSLATE(B88,""en"",""it"")"),"Di")</f>
        <v>Di</v>
      </c>
      <c r="I88" s="4" t="str">
        <f>IFERROR(__xludf.DUMMYFUNCTION("GOOGLETRANSLATE(B88,""en"",""de"")"),"Um")</f>
        <v>Um</v>
      </c>
      <c r="J88" s="4" t="str">
        <f>IFERROR(__xludf.DUMMYFUNCTION("GOOGLETRANSLATE(B88,""en"",""ko"")"),"에 대한")</f>
        <v>에 대한</v>
      </c>
      <c r="K88" s="4" t="str">
        <f>IFERROR(__xludf.DUMMYFUNCTION("GOOGLETRANSLATE(B88,""en"",""zh"")"),"关于")</f>
        <v>关于</v>
      </c>
      <c r="L88" s="4" t="str">
        <f>IFERROR(__xludf.DUMMYFUNCTION("GOOGLETRANSLATE(B88,""en"",""es"")"),"Acerca de")</f>
        <v>Acerca de</v>
      </c>
      <c r="M88" s="4" t="str">
        <f>IFERROR(__xludf.DUMMYFUNCTION("GOOGLETRANSLATE(B88,""en"",""iw"")"),"אוֹדוֹת")</f>
        <v>אוֹדוֹת</v>
      </c>
      <c r="N88" s="4" t="str">
        <f>IFERROR(__xludf.DUMMYFUNCTION("GOOGLETRANSLATE(B88,""en"",""bn"")"),"সম্পর্কে")</f>
        <v>সম্পর্কে</v>
      </c>
      <c r="O88" s="4" t="str">
        <f>IFERROR(__xludf.DUMMYFUNCTION("GOOGLETRANSLATE(B88,""en"",""pt"")"),"Sobre")</f>
        <v>Sobre</v>
      </c>
    </row>
    <row r="89">
      <c r="A89" s="12" t="s">
        <v>262</v>
      </c>
      <c r="B89" s="3" t="s">
        <v>263</v>
      </c>
      <c r="C89" s="4" t="str">
        <f>IFERROR(__xludf.DUMMYFUNCTION("GOOGLETRANSLATE(B89,""en"",""hi"")"),"लॉग आउट")</f>
        <v>लॉग आउट</v>
      </c>
      <c r="D89" s="4" t="str">
        <f>IFERROR(__xludf.DUMMYFUNCTION("GOOGLETRANSLATE(B89,""en"",""ar"")"),"تسجيل الخروج")</f>
        <v>تسجيل الخروج</v>
      </c>
      <c r="E89" s="4" t="str">
        <f>IFERROR(__xludf.DUMMYFUNCTION("GOOGLETRANSLATE(B89,""en"",""fr"")"),"Déconnexion")</f>
        <v>Déconnexion</v>
      </c>
      <c r="F89" s="4" t="str">
        <f>IFERROR(__xludf.DUMMYFUNCTION("GOOGLETRANSLATE(B89,""en"",""tr"")"),"Çıkış yap")</f>
        <v>Çıkış yap</v>
      </c>
      <c r="G89" s="4" t="str">
        <f>IFERROR(__xludf.DUMMYFUNCTION("GOOGLETRANSLATE(B89,""en"",""ru"")"),"Выйти")</f>
        <v>Выйти</v>
      </c>
      <c r="H89" s="4" t="str">
        <f>IFERROR(__xludf.DUMMYFUNCTION("GOOGLETRANSLATE(B89,""en"",""it"")"),"Esci")</f>
        <v>Esci</v>
      </c>
      <c r="I89" s="4" t="str">
        <f>IFERROR(__xludf.DUMMYFUNCTION("GOOGLETRANSLATE(B89,""en"",""de"")"),"Ausloggen")</f>
        <v>Ausloggen</v>
      </c>
      <c r="J89" s="4" t="str">
        <f>IFERROR(__xludf.DUMMYFUNCTION("GOOGLETRANSLATE(B89,""en"",""ko"")"),"로그아웃")</f>
        <v>로그아웃</v>
      </c>
      <c r="K89" s="4" t="str">
        <f>IFERROR(__xludf.DUMMYFUNCTION("GOOGLETRANSLATE(B89,""en"",""zh"")"),"登出")</f>
        <v>登出</v>
      </c>
      <c r="L89" s="4" t="str">
        <f>IFERROR(__xludf.DUMMYFUNCTION("GOOGLETRANSLATE(B89,""en"",""es"")"),"Cerrar sesión")</f>
        <v>Cerrar sesión</v>
      </c>
      <c r="M89" s="4" t="str">
        <f>IFERROR(__xludf.DUMMYFUNCTION("GOOGLETRANSLATE(B89,""en"",""iw"")"),"התנתק")</f>
        <v>התנתק</v>
      </c>
      <c r="N89" s="4" t="str">
        <f>IFERROR(__xludf.DUMMYFUNCTION("GOOGLETRANSLATE(B89,""en"",""bn"")"),"লগআউট")</f>
        <v>লগআউট</v>
      </c>
      <c r="O89" s="4" t="str">
        <f>IFERROR(__xludf.DUMMYFUNCTION("GOOGLETRANSLATE(B89,""en"",""pt"")"),"Sair")</f>
        <v>Sair</v>
      </c>
    </row>
    <row r="90">
      <c r="A90" s="7" t="s">
        <v>264</v>
      </c>
      <c r="B90" s="3" t="s">
        <v>265</v>
      </c>
      <c r="C90" s="4" t="str">
        <f>IFERROR(__xludf.DUMMYFUNCTION("GOOGLETRANSLATE(B90,""en"",""hi"")"),"यात्रा सारांश")</f>
        <v>यात्रा सारांश</v>
      </c>
      <c r="D90" s="6" t="s">
        <v>266</v>
      </c>
      <c r="E90" s="4" t="str">
        <f>IFERROR(__xludf.DUMMYFUNCTION("GOOGLETRANSLATE(B90,""en"",""fr"")"),"Résumé du voyage")</f>
        <v>Résumé du voyage</v>
      </c>
      <c r="F90" s="4" t="str">
        <f>IFERROR(__xludf.DUMMYFUNCTION("GOOGLETRANSLATE(B90,""en"",""tr"")"),"Gezi Özeti")</f>
        <v>Gezi Özeti</v>
      </c>
      <c r="G90" s="4" t="str">
        <f>IFERROR(__xludf.DUMMYFUNCTION("GOOGLETRANSLATE(B90,""en"",""ru"")"),"Краткое описание поездки")</f>
        <v>Краткое описание поездки</v>
      </c>
      <c r="H90" s="4" t="str">
        <f>IFERROR(__xludf.DUMMYFUNCTION("GOOGLETRANSLATE(B90,""en"",""it"")"),"Riepilogo del viaggio")</f>
        <v>Riepilogo del viaggio</v>
      </c>
      <c r="I90" s="4" t="str">
        <f>IFERROR(__xludf.DUMMYFUNCTION("GOOGLETRANSLATE(B90,""en"",""de"")"),"Reisezusammenfassung")</f>
        <v>Reisezusammenfassung</v>
      </c>
      <c r="J90" s="4" t="str">
        <f>IFERROR(__xludf.DUMMYFUNCTION("GOOGLETRANSLATE(B90,""en"",""ko"")"),"여행 요약")</f>
        <v>여행 요약</v>
      </c>
      <c r="K90" s="4" t="str">
        <f>IFERROR(__xludf.DUMMYFUNCTION("GOOGLETRANSLATE(B90,""en"",""zh"")"),"行程概要")</f>
        <v>行程概要</v>
      </c>
      <c r="L90" s="4" t="str">
        <f>IFERROR(__xludf.DUMMYFUNCTION("GOOGLETRANSLATE(B90,""en"",""es"")"),"Resumen del viaje")</f>
        <v>Resumen del viaje</v>
      </c>
      <c r="M90" s="4" t="str">
        <f>IFERROR(__xludf.DUMMYFUNCTION("GOOGLETRANSLATE(B90,""en"",""iw"")"),"סיכום טיול")</f>
        <v>סיכום טיול</v>
      </c>
      <c r="N90" s="4" t="str">
        <f>IFERROR(__xludf.DUMMYFUNCTION("GOOGLETRANSLATE(B90,""en"",""bn"")"),"ট্রিপ সারাংশ")</f>
        <v>ট্রিপ সারাংশ</v>
      </c>
      <c r="O90" s="4" t="str">
        <f>IFERROR(__xludf.DUMMYFUNCTION("GOOGLETRANSLATE(B90,""en"",""pt"")"),"Resumo da viagem")</f>
        <v>Resumo da viagem</v>
      </c>
    </row>
    <row r="91">
      <c r="A91" s="7" t="s">
        <v>267</v>
      </c>
      <c r="B91" s="3" t="s">
        <v>268</v>
      </c>
      <c r="C91" s="4" t="str">
        <f>IFERROR(__xludf.DUMMYFUNCTION("GOOGLETRANSLATE(B91,""en"",""hi"")"),"संदर्भ संख्या")</f>
        <v>संदर्भ संख्या</v>
      </c>
      <c r="D91" s="6" t="s">
        <v>269</v>
      </c>
      <c r="E91" s="4" t="str">
        <f>IFERROR(__xludf.DUMMYFUNCTION("GOOGLETRANSLATE(B91,""en"",""fr"")"),"Numéro de référence")</f>
        <v>Numéro de référence</v>
      </c>
      <c r="F91" s="4" t="str">
        <f>IFERROR(__xludf.DUMMYFUNCTION("GOOGLETRANSLATE(B91,""en"",""tr"")"),"Referans Numarası")</f>
        <v>Referans Numarası</v>
      </c>
      <c r="G91" s="4" t="str">
        <f>IFERROR(__xludf.DUMMYFUNCTION("GOOGLETRANSLATE(B91,""en"",""ru"")"),"Номер ссылки")</f>
        <v>Номер ссылки</v>
      </c>
      <c r="H91" s="4" t="str">
        <f>IFERROR(__xludf.DUMMYFUNCTION("GOOGLETRANSLATE(B91,""en"",""it"")"),"Numero di riferimento")</f>
        <v>Numero di riferimento</v>
      </c>
      <c r="I91" s="4" t="str">
        <f>IFERROR(__xludf.DUMMYFUNCTION("GOOGLETRANSLATE(B91,""en"",""de"")"),"Referenznummer")</f>
        <v>Referenznummer</v>
      </c>
      <c r="J91" s="4" t="str">
        <f>IFERROR(__xludf.DUMMYFUNCTION("GOOGLETRANSLATE(B91,""en"",""ko"")"),"참조 번호")</f>
        <v>참조 번호</v>
      </c>
      <c r="K91" s="4" t="str">
        <f>IFERROR(__xludf.DUMMYFUNCTION("GOOGLETRANSLATE(B91,""en"",""zh"")"),"参考编号")</f>
        <v>参考编号</v>
      </c>
      <c r="L91" s="4" t="str">
        <f>IFERROR(__xludf.DUMMYFUNCTION("GOOGLETRANSLATE(B91,""en"",""es"")"),"Número de referencia")</f>
        <v>Número de referencia</v>
      </c>
      <c r="M91" s="4" t="str">
        <f>IFERROR(__xludf.DUMMYFUNCTION("GOOGLETRANSLATE(B91,""en"",""iw"")"),"מספר סימוכין")</f>
        <v>מספר סימוכין</v>
      </c>
      <c r="N91" s="4" t="str">
        <f>IFERROR(__xludf.DUMMYFUNCTION("GOOGLETRANSLATE(B91,""en"",""bn"")"),"রেফারেন্স নম্বর")</f>
        <v>রেফারেন্স নম্বর</v>
      </c>
      <c r="O91" s="4" t="str">
        <f>IFERROR(__xludf.DUMMYFUNCTION("GOOGLETRANSLATE(B91,""en"",""pt"")"),"Número de referência")</f>
        <v>Número de referência</v>
      </c>
    </row>
    <row r="92">
      <c r="A92" s="7" t="s">
        <v>270</v>
      </c>
      <c r="B92" s="3" t="s">
        <v>271</v>
      </c>
      <c r="C92" s="4" t="str">
        <f>IFERROR(__xludf.DUMMYFUNCTION("GOOGLETRANSLATE(B92,""en"",""hi"")"),"सवारी का प्रकार")</f>
        <v>सवारी का प्रकार</v>
      </c>
      <c r="D92" s="6" t="s">
        <v>272</v>
      </c>
      <c r="E92" s="4" t="str">
        <f>IFERROR(__xludf.DUMMYFUNCTION("GOOGLETRANSLATE(B92,""en"",""fr"")"),"Type de trajet")</f>
        <v>Type de trajet</v>
      </c>
      <c r="F92" s="4" t="str">
        <f>IFERROR(__xludf.DUMMYFUNCTION("GOOGLETRANSLATE(B92,""en"",""tr"")"),"Yolculuk Türü")</f>
        <v>Yolculuk Türü</v>
      </c>
      <c r="G92" s="4" t="str">
        <f>IFERROR(__xludf.DUMMYFUNCTION("GOOGLETRANSLATE(B92,""en"",""ru"")"),"Тип езды")</f>
        <v>Тип езды</v>
      </c>
      <c r="H92" s="4" t="str">
        <f>IFERROR(__xludf.DUMMYFUNCTION("GOOGLETRANSLATE(B92,""en"",""it"")"),"Tipo di corsa")</f>
        <v>Tipo di corsa</v>
      </c>
      <c r="I92" s="4" t="str">
        <f>IFERROR(__xludf.DUMMYFUNCTION("GOOGLETRANSLATE(B92,""en"",""de"")"),"Art der Fahrt")</f>
        <v>Art der Fahrt</v>
      </c>
      <c r="J92" s="4" t="str">
        <f>IFERROR(__xludf.DUMMYFUNCTION("GOOGLETRANSLATE(B92,""en"",""ko"")"),"승차 유형")</f>
        <v>승차 유형</v>
      </c>
      <c r="K92" s="4" t="str">
        <f>IFERROR(__xludf.DUMMYFUNCTION("GOOGLETRANSLATE(B92,""en"",""zh"")"),"乘车类型")</f>
        <v>乘车类型</v>
      </c>
      <c r="L92" s="4" t="str">
        <f>IFERROR(__xludf.DUMMYFUNCTION("GOOGLETRANSLATE(B92,""en"",""es"")"),"Tipo de viaje")</f>
        <v>Tipo de viaje</v>
      </c>
      <c r="M92" s="4" t="str">
        <f>IFERROR(__xludf.DUMMYFUNCTION("GOOGLETRANSLATE(B92,""en"",""iw"")"),"סוג נסיעה")</f>
        <v>סוג נסיעה</v>
      </c>
      <c r="N92" s="4" t="str">
        <f>IFERROR(__xludf.DUMMYFUNCTION("GOOGLETRANSLATE(B92,""en"",""bn"")"),"রাইডের ধরন")</f>
        <v>রাইডের ধরন</v>
      </c>
      <c r="O92" s="4" t="str">
        <f>IFERROR(__xludf.DUMMYFUNCTION("GOOGLETRANSLATE(B92,""en"",""pt"")"),"Tipo de passeio")</f>
        <v>Tipo de passeio</v>
      </c>
    </row>
    <row r="93">
      <c r="A93" s="7" t="s">
        <v>273</v>
      </c>
      <c r="B93" s="3" t="s">
        <v>274</v>
      </c>
      <c r="C93" s="4" t="str">
        <f>IFERROR(__xludf.DUMMYFUNCTION("GOOGLETRANSLATE(B93,""en"",""hi"")"),"दूरी")</f>
        <v>दूरी</v>
      </c>
      <c r="D93" s="6" t="s">
        <v>275</v>
      </c>
      <c r="E93" s="4" t="str">
        <f>IFERROR(__xludf.DUMMYFUNCTION("GOOGLETRANSLATE(B93,""en"",""fr"")"),"Distance")</f>
        <v>Distance</v>
      </c>
      <c r="F93" s="4" t="str">
        <f>IFERROR(__xludf.DUMMYFUNCTION("GOOGLETRANSLATE(B93,""en"",""tr"")"),"Mesafe")</f>
        <v>Mesafe</v>
      </c>
      <c r="G93" s="4" t="str">
        <f>IFERROR(__xludf.DUMMYFUNCTION("GOOGLETRANSLATE(B93,""en"",""ru"")"),"Расстояние")</f>
        <v>Расстояние</v>
      </c>
      <c r="H93" s="4" t="str">
        <f>IFERROR(__xludf.DUMMYFUNCTION("GOOGLETRANSLATE(B93,""en"",""it"")"),"Distanza")</f>
        <v>Distanza</v>
      </c>
      <c r="I93" s="4" t="str">
        <f>IFERROR(__xludf.DUMMYFUNCTION("GOOGLETRANSLATE(B93,""en"",""de"")"),"Distanz")</f>
        <v>Distanz</v>
      </c>
      <c r="J93" s="4" t="str">
        <f>IFERROR(__xludf.DUMMYFUNCTION("GOOGLETRANSLATE(B93,""en"",""ko"")"),"거리")</f>
        <v>거리</v>
      </c>
      <c r="K93" s="4" t="str">
        <f>IFERROR(__xludf.DUMMYFUNCTION("GOOGLETRANSLATE(B93,""en"",""zh"")"),"距离")</f>
        <v>距离</v>
      </c>
      <c r="L93" s="4" t="str">
        <f>IFERROR(__xludf.DUMMYFUNCTION("GOOGLETRANSLATE(B93,""en"",""es"")"),"Distancia")</f>
        <v>Distancia</v>
      </c>
      <c r="M93" s="4" t="str">
        <f>IFERROR(__xludf.DUMMYFUNCTION("GOOGLETRANSLATE(B93,""en"",""iw"")"),"מֶרְחָק")</f>
        <v>מֶרְחָק</v>
      </c>
      <c r="N93" s="4" t="str">
        <f>IFERROR(__xludf.DUMMYFUNCTION("GOOGLETRANSLATE(B93,""en"",""bn"")"),"দূরত্ব")</f>
        <v>দূরত্ব</v>
      </c>
      <c r="O93" s="4" t="str">
        <f>IFERROR(__xludf.DUMMYFUNCTION("GOOGLETRANSLATE(B93,""en"",""pt"")"),"Distância")</f>
        <v>Distância</v>
      </c>
    </row>
    <row r="94">
      <c r="A94" s="7" t="s">
        <v>276</v>
      </c>
      <c r="B94" s="9" t="s">
        <v>277</v>
      </c>
      <c r="C94" s="4" t="str">
        <f>IFERROR(__xludf.DUMMYFUNCTION("GOOGLETRANSLATE(B94,""en"",""hi"")"),"अवधि")</f>
        <v>अवधि</v>
      </c>
      <c r="D94" s="6" t="s">
        <v>278</v>
      </c>
      <c r="E94" s="4" t="str">
        <f>IFERROR(__xludf.DUMMYFUNCTION("GOOGLETRANSLATE(B94,""en"",""fr"")"),"Durée")</f>
        <v>Durée</v>
      </c>
      <c r="F94" s="4" t="str">
        <f>IFERROR(__xludf.DUMMYFUNCTION("GOOGLETRANSLATE(B94,""en"",""tr"")"),"Süre")</f>
        <v>Süre</v>
      </c>
      <c r="G94" s="4" t="str">
        <f>IFERROR(__xludf.DUMMYFUNCTION("GOOGLETRANSLATE(B94,""en"",""ru"")"),"Продолжительность")</f>
        <v>Продолжительность</v>
      </c>
      <c r="H94" s="4" t="str">
        <f>IFERROR(__xludf.DUMMYFUNCTION("GOOGLETRANSLATE(B94,""en"",""it"")"),"Durata")</f>
        <v>Durata</v>
      </c>
      <c r="I94" s="4" t="str">
        <f>IFERROR(__xludf.DUMMYFUNCTION("GOOGLETRANSLATE(B94,""en"",""de"")"),"Dauer")</f>
        <v>Dauer</v>
      </c>
      <c r="J94" s="4" t="str">
        <f>IFERROR(__xludf.DUMMYFUNCTION("GOOGLETRANSLATE(B94,""en"",""ko"")"),"지속")</f>
        <v>지속</v>
      </c>
      <c r="K94" s="4" t="str">
        <f>IFERROR(__xludf.DUMMYFUNCTION("GOOGLETRANSLATE(B94,""en"",""zh"")"),"期间")</f>
        <v>期间</v>
      </c>
      <c r="L94" s="4" t="str">
        <f>IFERROR(__xludf.DUMMYFUNCTION("GOOGLETRANSLATE(B94,""en"",""es"")"),"Duración")</f>
        <v>Duración</v>
      </c>
      <c r="M94" s="4" t="str">
        <f>IFERROR(__xludf.DUMMYFUNCTION("GOOGLETRANSLATE(B94,""en"",""iw"")"),"מֶשֶׁך")</f>
        <v>מֶשֶׁך</v>
      </c>
      <c r="N94" s="4" t="str">
        <f>IFERROR(__xludf.DUMMYFUNCTION("GOOGLETRANSLATE(B94,""en"",""bn"")"),"সময়কাল")</f>
        <v>সময়কাল</v>
      </c>
      <c r="O94" s="4" t="str">
        <f>IFERROR(__xludf.DUMMYFUNCTION("GOOGLETRANSLATE(B94,""en"",""pt"")"),"Duração")</f>
        <v>Duração</v>
      </c>
    </row>
    <row r="95">
      <c r="A95" s="7" t="s">
        <v>279</v>
      </c>
      <c r="B95" s="3" t="s">
        <v>280</v>
      </c>
      <c r="C95" s="4" t="str">
        <f>IFERROR(__xludf.DUMMYFUNCTION("GOOGLETRANSLATE(B95,""en"",""hi"")"),"किराया विवरण")</f>
        <v>किराया विवरण</v>
      </c>
      <c r="D95" s="6" t="s">
        <v>281</v>
      </c>
      <c r="E95" s="4" t="str">
        <f>IFERROR(__xludf.DUMMYFUNCTION("GOOGLETRANSLATE(B95,""en"",""fr"")"),"Répartition des tarifs")</f>
        <v>Répartition des tarifs</v>
      </c>
      <c r="F95" s="4" t="str">
        <f>IFERROR(__xludf.DUMMYFUNCTION("GOOGLETRANSLATE(B95,""en"",""tr"")"),"Ücret Ayrımı")</f>
        <v>Ücret Ayrımı</v>
      </c>
      <c r="G95" s="4" t="str">
        <f>IFERROR(__xludf.DUMMYFUNCTION("GOOGLETRANSLATE(B95,""en"",""ru"")"),"Разбивка тарифа")</f>
        <v>Разбивка тарифа</v>
      </c>
      <c r="H95" s="4" t="str">
        <f>IFERROR(__xludf.DUMMYFUNCTION("GOOGLETRANSLATE(B95,""en"",""it"")"),"Ripartizione delle tariffe")</f>
        <v>Ripartizione delle tariffe</v>
      </c>
      <c r="I95" s="4" t="str">
        <f>IFERROR(__xludf.DUMMYFUNCTION("GOOGLETRANSLATE(B95,""en"",""de"")"),"Tarifaufschlüsselung")</f>
        <v>Tarifaufschlüsselung</v>
      </c>
      <c r="J95" s="4" t="str">
        <f>IFERROR(__xludf.DUMMYFUNCTION("GOOGLETRANSLATE(B95,""en"",""ko"")"),"요금 분할")</f>
        <v>요금 분할</v>
      </c>
      <c r="K95" s="4" t="str">
        <f>IFERROR(__xludf.DUMMYFUNCTION("GOOGLETRANSLATE(B95,""en"",""zh"")"),"票价分项")</f>
        <v>票价分项</v>
      </c>
      <c r="L95" s="4" t="str">
        <f>IFERROR(__xludf.DUMMYFUNCTION("GOOGLETRANSLATE(B95,""en"",""es"")"),"Desglose de tarifas")</f>
        <v>Desglose de tarifas</v>
      </c>
      <c r="M95" s="4" t="str">
        <f>IFERROR(__xludf.DUMMYFUNCTION("GOOGLETRANSLATE(B95,""en"",""iw"")"),"התפרקות מחיר")</f>
        <v>התפרקות מחיר</v>
      </c>
      <c r="N95" s="4" t="str">
        <f>IFERROR(__xludf.DUMMYFUNCTION("GOOGLETRANSLATE(B95,""en"",""bn"")"),"ফেয়ার ব্রেকআপ")</f>
        <v>ফেয়ার ব্রেকআপ</v>
      </c>
      <c r="O95" s="4" t="str">
        <f>IFERROR(__xludf.DUMMYFUNCTION("GOOGLETRANSLATE(B95,""en"",""pt"")"),"Divisão de tarifas")</f>
        <v>Divisão de tarifas</v>
      </c>
    </row>
    <row r="96">
      <c r="A96" s="7" t="s">
        <v>282</v>
      </c>
      <c r="B96" s="3" t="s">
        <v>283</v>
      </c>
      <c r="C96" s="4" t="str">
        <f>IFERROR(__xludf.DUMMYFUNCTION("GOOGLETRANSLATE(B96,""en"",""hi"")"),"आधार मूल्य")</f>
        <v>आधार मूल्य</v>
      </c>
      <c r="D96" s="6" t="s">
        <v>284</v>
      </c>
      <c r="E96" s="4" t="str">
        <f>IFERROR(__xludf.DUMMYFUNCTION("GOOGLETRANSLATE(B96,""en"",""fr"")"),"Prix de base")</f>
        <v>Prix de base</v>
      </c>
      <c r="F96" s="4" t="str">
        <f>IFERROR(__xludf.DUMMYFUNCTION("GOOGLETRANSLATE(B96,""en"",""tr"")"),"Temel Fiyat")</f>
        <v>Temel Fiyat</v>
      </c>
      <c r="G96" s="4" t="str">
        <f>IFERROR(__xludf.DUMMYFUNCTION("GOOGLETRANSLATE(B96,""en"",""ru"")"),"Базовая цена")</f>
        <v>Базовая цена</v>
      </c>
      <c r="H96" s="4" t="str">
        <f>IFERROR(__xludf.DUMMYFUNCTION("GOOGLETRANSLATE(B96,""en"",""it"")"),"Prezzo base")</f>
        <v>Prezzo base</v>
      </c>
      <c r="I96" s="4" t="str">
        <f>IFERROR(__xludf.DUMMYFUNCTION("GOOGLETRANSLATE(B96,""en"",""de"")"),"Grundpreis")</f>
        <v>Grundpreis</v>
      </c>
      <c r="J96" s="4" t="str">
        <f>IFERROR(__xludf.DUMMYFUNCTION("GOOGLETRANSLATE(B96,""en"",""ko"")"),"기본 가격")</f>
        <v>기본 가격</v>
      </c>
      <c r="K96" s="4" t="str">
        <f>IFERROR(__xludf.DUMMYFUNCTION("GOOGLETRANSLATE(B96,""en"",""zh"")"),"基价")</f>
        <v>基价</v>
      </c>
      <c r="L96" s="4" t="str">
        <f>IFERROR(__xludf.DUMMYFUNCTION("GOOGLETRANSLATE(B96,""en"",""es"")"),"Precio base")</f>
        <v>Precio base</v>
      </c>
      <c r="M96" s="4" t="str">
        <f>IFERROR(__xludf.DUMMYFUNCTION("GOOGLETRANSLATE(B96,""en"",""iw"")"),"מחיר בסיס")</f>
        <v>מחיר בסיס</v>
      </c>
      <c r="N96" s="4" t="str">
        <f>IFERROR(__xludf.DUMMYFUNCTION("GOOGLETRANSLATE(B96,""en"",""bn"")"),"বেস প্রাইস")</f>
        <v>বেস প্রাইস</v>
      </c>
      <c r="O96" s="4" t="str">
        <f>IFERROR(__xludf.DUMMYFUNCTION("GOOGLETRANSLATE(B96,""en"",""pt"")"),"Preço base")</f>
        <v>Preço base</v>
      </c>
    </row>
    <row r="97">
      <c r="A97" s="7" t="s">
        <v>285</v>
      </c>
      <c r="B97" s="3" t="s">
        <v>286</v>
      </c>
      <c r="C97" s="4" t="str">
        <f>IFERROR(__xludf.DUMMYFUNCTION("GOOGLETRANSLATE(B97,""en"",""hi"")"),"करों")</f>
        <v>करों</v>
      </c>
      <c r="D97" s="6" t="s">
        <v>287</v>
      </c>
      <c r="E97" s="4" t="str">
        <f>IFERROR(__xludf.DUMMYFUNCTION("GOOGLETRANSLATE(B97,""en"",""fr"")"),"Impôts")</f>
        <v>Impôts</v>
      </c>
      <c r="F97" s="4" t="str">
        <f>IFERROR(__xludf.DUMMYFUNCTION("GOOGLETRANSLATE(B97,""en"",""tr"")"),"Vergiler")</f>
        <v>Vergiler</v>
      </c>
      <c r="G97" s="4" t="str">
        <f>IFERROR(__xludf.DUMMYFUNCTION("GOOGLETRANSLATE(B97,""en"",""ru"")"),"Налоги")</f>
        <v>Налоги</v>
      </c>
      <c r="H97" s="4" t="str">
        <f>IFERROR(__xludf.DUMMYFUNCTION("GOOGLETRANSLATE(B97,""en"",""it"")"),"Tasse")</f>
        <v>Tasse</v>
      </c>
      <c r="I97" s="4" t="str">
        <f>IFERROR(__xludf.DUMMYFUNCTION("GOOGLETRANSLATE(B97,""en"",""de"")"),"Steuern")</f>
        <v>Steuern</v>
      </c>
      <c r="J97" s="4" t="str">
        <f>IFERROR(__xludf.DUMMYFUNCTION("GOOGLETRANSLATE(B97,""en"",""ko"")"),"구실")</f>
        <v>구실</v>
      </c>
      <c r="K97" s="4" t="str">
        <f>IFERROR(__xludf.DUMMYFUNCTION("GOOGLETRANSLATE(B97,""en"",""zh"")"),"税收")</f>
        <v>税收</v>
      </c>
      <c r="L97" s="4" t="str">
        <f>IFERROR(__xludf.DUMMYFUNCTION("GOOGLETRANSLATE(B97,""en"",""es"")"),"Impuestos")</f>
        <v>Impuestos</v>
      </c>
      <c r="M97" s="4" t="str">
        <f>IFERROR(__xludf.DUMMYFUNCTION("GOOGLETRANSLATE(B97,""en"",""iw"")"),"מיסים")</f>
        <v>מיסים</v>
      </c>
      <c r="N97" s="4" t="str">
        <f>IFERROR(__xludf.DUMMYFUNCTION("GOOGLETRANSLATE(B97,""en"",""bn"")"),"কর")</f>
        <v>কর</v>
      </c>
      <c r="O97" s="4" t="str">
        <f>IFERROR(__xludf.DUMMYFUNCTION("GOOGLETRANSLATE(B97,""en"",""pt"")"),"Impostos")</f>
        <v>Impostos</v>
      </c>
    </row>
    <row r="98">
      <c r="A98" s="7" t="s">
        <v>288</v>
      </c>
      <c r="B98" s="3" t="s">
        <v>289</v>
      </c>
      <c r="C98" s="4" t="str">
        <f>IFERROR(__xludf.DUMMYFUNCTION("GOOGLETRANSLATE(B98,""en"",""hi"")"),"दूरी मूल्य")</f>
        <v>दूरी मूल्य</v>
      </c>
      <c r="D98" s="6" t="s">
        <v>290</v>
      </c>
      <c r="E98" s="4" t="str">
        <f>IFERROR(__xludf.DUMMYFUNCTION("GOOGLETRANSLATE(B98,""en"",""fr"")"),"Prix à distance")</f>
        <v>Prix à distance</v>
      </c>
      <c r="F98" s="4" t="str">
        <f>IFERROR(__xludf.DUMMYFUNCTION("GOOGLETRANSLATE(B98,""en"",""tr"")"),"Mesafe Fiyatı")</f>
        <v>Mesafe Fiyatı</v>
      </c>
      <c r="G98" s="4" t="str">
        <f>IFERROR(__xludf.DUMMYFUNCTION("GOOGLETRANSLATE(B98,""en"",""ru"")"),"Расстояние Цена")</f>
        <v>Расстояние Цена</v>
      </c>
      <c r="H98" s="4" t="str">
        <f>IFERROR(__xludf.DUMMYFUNCTION("GOOGLETRANSLATE(B98,""en"",""it"")"),"Prezzo distanza")</f>
        <v>Prezzo distanza</v>
      </c>
      <c r="I98" s="4" t="str">
        <f>IFERROR(__xludf.DUMMYFUNCTION("GOOGLETRANSLATE(B98,""en"",""de"")"),"Entfernung Preis")</f>
        <v>Entfernung Preis</v>
      </c>
      <c r="J98" s="4" t="str">
        <f>IFERROR(__xludf.DUMMYFUNCTION("GOOGLETRANSLATE(B98,""en"",""ko"")"),"거리 가격")</f>
        <v>거리 가격</v>
      </c>
      <c r="K98" s="4" t="str">
        <f>IFERROR(__xludf.DUMMYFUNCTION("GOOGLETRANSLATE(B98,""en"",""zh"")"),"距离价格")</f>
        <v>距离价格</v>
      </c>
      <c r="L98" s="4" t="str">
        <f>IFERROR(__xludf.DUMMYFUNCTION("GOOGLETRANSLATE(B98,""en"",""es"")"),"Precio de distancia")</f>
        <v>Precio de distancia</v>
      </c>
      <c r="M98" s="4" t="str">
        <f>IFERROR(__xludf.DUMMYFUNCTION("GOOGLETRANSLATE(B98,""en"",""iw"")"),"מחיר מרחק")</f>
        <v>מחיר מרחק</v>
      </c>
      <c r="N98" s="4" t="str">
        <f>IFERROR(__xludf.DUMMYFUNCTION("GOOGLETRANSLATE(B98,""en"",""bn"")"),"দূরত্ব মূল্য")</f>
        <v>দূরত্ব মূল্য</v>
      </c>
      <c r="O98" s="4" t="str">
        <f>IFERROR(__xludf.DUMMYFUNCTION("GOOGLETRANSLATE(B98,""en"",""pt"")"),"Preço da distância")</f>
        <v>Preço da distância</v>
      </c>
    </row>
    <row r="99">
      <c r="A99" s="7" t="s">
        <v>291</v>
      </c>
      <c r="B99" s="3" t="s">
        <v>292</v>
      </c>
      <c r="C99" s="4" t="str">
        <f>IFERROR(__xludf.DUMMYFUNCTION("GOOGLETRANSLATE(B99,""en"",""hi"")"),"समय मूल्य")</f>
        <v>समय मूल्य</v>
      </c>
      <c r="D99" s="6" t="s">
        <v>293</v>
      </c>
      <c r="E99" s="4" t="str">
        <f>IFERROR(__xludf.DUMMYFUNCTION("GOOGLETRANSLATE(B99,""en"",""fr"")"),"Prix du temps")</f>
        <v>Prix du temps</v>
      </c>
      <c r="F99" s="4" t="str">
        <f>IFERROR(__xludf.DUMMYFUNCTION("GOOGLETRANSLATE(B99,""en"",""tr"")"),"Zaman Fiyatı")</f>
        <v>Zaman Fiyatı</v>
      </c>
      <c r="G99" s="4" t="str">
        <f>IFERROR(__xludf.DUMMYFUNCTION("GOOGLETRANSLATE(B99,""en"",""ru"")"),"Время Цена")</f>
        <v>Время Цена</v>
      </c>
      <c r="H99" s="4" t="str">
        <f>IFERROR(__xludf.DUMMYFUNCTION("GOOGLETRANSLATE(B99,""en"",""it"")"),"Prezzo del tempo")</f>
        <v>Prezzo del tempo</v>
      </c>
      <c r="I99" s="4" t="str">
        <f>IFERROR(__xludf.DUMMYFUNCTION("GOOGLETRANSLATE(B99,""en"",""de"")"),"Zeit Preis")</f>
        <v>Zeit Preis</v>
      </c>
      <c r="J99" s="4" t="str">
        <f>IFERROR(__xludf.DUMMYFUNCTION("GOOGLETRANSLATE(B99,""en"",""ko"")"),"시간 가격")</f>
        <v>시간 가격</v>
      </c>
      <c r="K99" s="4" t="str">
        <f>IFERROR(__xludf.DUMMYFUNCTION("GOOGLETRANSLATE(B99,""en"",""zh"")"),"时间 价格")</f>
        <v>时间 价格</v>
      </c>
      <c r="L99" s="4" t="str">
        <f>IFERROR(__xludf.DUMMYFUNCTION("GOOGLETRANSLATE(B99,""en"",""es"")"),"Precio del tiempo")</f>
        <v>Precio del tiempo</v>
      </c>
      <c r="M99" s="4" t="str">
        <f>IFERROR(__xludf.DUMMYFUNCTION("GOOGLETRANSLATE(B99,""en"",""iw"")"),"מחיר זמן")</f>
        <v>מחיר זמן</v>
      </c>
      <c r="N99" s="4" t="str">
        <f>IFERROR(__xludf.DUMMYFUNCTION("GOOGLETRANSLATE(B99,""en"",""bn"")"),"সময়ের মূল্য")</f>
        <v>সময়ের মূল্য</v>
      </c>
      <c r="O99" s="4" t="str">
        <f>IFERROR(__xludf.DUMMYFUNCTION("GOOGLETRANSLATE(B99,""en"",""pt"")"),"Preço do tempo")</f>
        <v>Preço do tempo</v>
      </c>
    </row>
    <row r="100">
      <c r="A100" s="7" t="s">
        <v>294</v>
      </c>
      <c r="B100" s="3" t="s">
        <v>295</v>
      </c>
      <c r="C100" s="4" t="str">
        <f>IFERROR(__xludf.DUMMYFUNCTION("GOOGLETRANSLATE(B100,""en"",""hi"")"),"रद्दीकरण शुल्क")</f>
        <v>रद्दीकरण शुल्क</v>
      </c>
      <c r="D100" s="6" t="s">
        <v>296</v>
      </c>
      <c r="E100" s="4" t="str">
        <f>IFERROR(__xludf.DUMMYFUNCTION("GOOGLETRANSLATE(B100,""en"",""fr"")"),"Frais d'annulation")</f>
        <v>Frais d'annulation</v>
      </c>
      <c r="F100" s="4" t="str">
        <f>IFERROR(__xludf.DUMMYFUNCTION("GOOGLETRANSLATE(B100,""en"",""tr"")"),"İptal Ücreti")</f>
        <v>İptal Ücreti</v>
      </c>
      <c r="G100" s="4" t="str">
        <f>IFERROR(__xludf.DUMMYFUNCTION("GOOGLETRANSLATE(B100,""en"",""ru"")"),"Плата за отмену")</f>
        <v>Плата за отмену</v>
      </c>
      <c r="H100" s="4" t="str">
        <f>IFERROR(__xludf.DUMMYFUNCTION("GOOGLETRANSLATE(B100,""en"",""it"")"),"Tassa di cancellazione")</f>
        <v>Tassa di cancellazione</v>
      </c>
      <c r="I100" s="4" t="str">
        <f>IFERROR(__xludf.DUMMYFUNCTION("GOOGLETRANSLATE(B100,""en"",""de"")"),"Stornogebühr")</f>
        <v>Stornogebühr</v>
      </c>
      <c r="J100" s="4" t="str">
        <f>IFERROR(__xludf.DUMMYFUNCTION("GOOGLETRANSLATE(B100,""en"",""ko"")"),"취소 수수료")</f>
        <v>취소 수수료</v>
      </c>
      <c r="K100" s="4" t="str">
        <f>IFERROR(__xludf.DUMMYFUNCTION("GOOGLETRANSLATE(B100,""en"",""zh"")"),"取消费")</f>
        <v>取消费</v>
      </c>
      <c r="L100" s="4" t="str">
        <f>IFERROR(__xludf.DUMMYFUNCTION("GOOGLETRANSLATE(B100,""en"",""es"")"),"Tarifa de cancelación")</f>
        <v>Tarifa de cancelación</v>
      </c>
      <c r="M100" s="4" t="str">
        <f>IFERROR(__xludf.DUMMYFUNCTION("GOOGLETRANSLATE(B100,""en"",""iw"")"),"דמי ביטול")</f>
        <v>דמי ביטול</v>
      </c>
      <c r="N100" s="4" t="str">
        <f>IFERROR(__xludf.DUMMYFUNCTION("GOOGLETRANSLATE(B100,""en"",""bn"")"),"বাতিলকরণ ফি")</f>
        <v>বাতিলকরণ ফি</v>
      </c>
      <c r="O100" s="4" t="str">
        <f>IFERROR(__xludf.DUMMYFUNCTION("GOOGLETRANSLATE(B100,""en"",""pt"")"),"Taxa de cancelamento")</f>
        <v>Taxa de cancelamento</v>
      </c>
    </row>
    <row r="101">
      <c r="A101" s="7" t="s">
        <v>297</v>
      </c>
      <c r="B101" s="3" t="s">
        <v>298</v>
      </c>
      <c r="C101" s="4" t="str">
        <f>IFERROR(__xludf.DUMMYFUNCTION("GOOGLETRANSLATE(B101,""en"",""hi"")"),"सुविधा शुल्क")</f>
        <v>सुविधा शुल्क</v>
      </c>
      <c r="D101" s="6" t="s">
        <v>299</v>
      </c>
      <c r="E101" s="4" t="str">
        <f>IFERROR(__xludf.DUMMYFUNCTION("GOOGLETRANSLATE(B101,""en"",""fr"")"),"Frais de commodité")</f>
        <v>Frais de commodité</v>
      </c>
      <c r="F101" s="4" t="str">
        <f>IFERROR(__xludf.DUMMYFUNCTION("GOOGLETRANSLATE(B101,""en"",""tr"")"),"Kolaylık Ücreti")</f>
        <v>Kolaylık Ücreti</v>
      </c>
      <c r="G101" s="4" t="str">
        <f>IFERROR(__xludf.DUMMYFUNCTION("GOOGLETRANSLATE(B101,""en"",""ru"")"),"Плата за удобство")</f>
        <v>Плата за удобство</v>
      </c>
      <c r="H101" s="4" t="str">
        <f>IFERROR(__xludf.DUMMYFUNCTION("GOOGLETRANSLATE(B101,""en"",""it"")"),"Tassa di servizio")</f>
        <v>Tassa di servizio</v>
      </c>
      <c r="I101" s="4" t="str">
        <f>IFERROR(__xludf.DUMMYFUNCTION("GOOGLETRANSLATE(B101,""en"",""de"")"),"Bearbeitungsgebühr")</f>
        <v>Bearbeitungsgebühr</v>
      </c>
      <c r="J101" s="4" t="str">
        <f>IFERROR(__xludf.DUMMYFUNCTION("GOOGLETRANSLATE(B101,""en"",""ko"")"),"편의 수수료")</f>
        <v>편의 수수료</v>
      </c>
      <c r="K101" s="4" t="str">
        <f>IFERROR(__xludf.DUMMYFUNCTION("GOOGLETRANSLATE(B101,""en"",""zh"")"),"便利费")</f>
        <v>便利费</v>
      </c>
      <c r="L101" s="4" t="str">
        <f>IFERROR(__xludf.DUMMYFUNCTION("GOOGLETRANSLATE(B101,""en"",""es"")"),"Tarifa de conveniencia")</f>
        <v>Tarifa de conveniencia</v>
      </c>
      <c r="M101" s="4" t="str">
        <f>IFERROR(__xludf.DUMMYFUNCTION("GOOGLETRANSLATE(B101,""en"",""iw"")"),"עמלת נוחות")</f>
        <v>עמלת נוחות</v>
      </c>
      <c r="N101" s="4" t="str">
        <f>IFERROR(__xludf.DUMMYFUNCTION("GOOGLETRANSLATE(B101,""en"",""bn"")"),"সুবিধার ফি")</f>
        <v>সুবিধার ফি</v>
      </c>
      <c r="O101" s="4" t="str">
        <f>IFERROR(__xludf.DUMMYFUNCTION("GOOGLETRANSLATE(B101,""en"",""pt"")"),"Taxa de conveniência")</f>
        <v>Taxa de conveniência</v>
      </c>
    </row>
    <row r="102">
      <c r="A102" s="7" t="s">
        <v>300</v>
      </c>
      <c r="B102" s="3" t="s">
        <v>301</v>
      </c>
      <c r="C102" s="4" t="str">
        <f>IFERROR(__xludf.DUMMYFUNCTION("GOOGLETRANSLATE(B102,""en"",""hi"")"),"कुल किराया")</f>
        <v>कुल किराया</v>
      </c>
      <c r="D102" s="6" t="s">
        <v>302</v>
      </c>
      <c r="E102" s="4" t="str">
        <f>IFERROR(__xludf.DUMMYFUNCTION("GOOGLETRANSLATE(B102,""en"",""fr"")"),"Tarif total")</f>
        <v>Tarif total</v>
      </c>
      <c r="F102" s="4" t="str">
        <f>IFERROR(__xludf.DUMMYFUNCTION("GOOGLETRANSLATE(B102,""en"",""tr"")"),"Toplam Ücret")</f>
        <v>Toplam Ücret</v>
      </c>
      <c r="G102" s="4" t="str">
        <f>IFERROR(__xludf.DUMMYFUNCTION("GOOGLETRANSLATE(B102,""en"",""ru"")"),"Общая стоимость проезда")</f>
        <v>Общая стоимость проезда</v>
      </c>
      <c r="H102" s="4" t="str">
        <f>IFERROR(__xludf.DUMMYFUNCTION("GOOGLETRANSLATE(B102,""en"",""it"")"),"Tariffa totale")</f>
        <v>Tariffa totale</v>
      </c>
      <c r="I102" s="4" t="str">
        <f>IFERROR(__xludf.DUMMYFUNCTION("GOOGLETRANSLATE(B102,""en"",""de"")"),"Gesamtpreis")</f>
        <v>Gesamtpreis</v>
      </c>
      <c r="J102" s="4" t="str">
        <f>IFERROR(__xludf.DUMMYFUNCTION("GOOGLETRANSLATE(B102,""en"",""ko"")"),"총 요금")</f>
        <v>총 요금</v>
      </c>
      <c r="K102" s="4" t="str">
        <f>IFERROR(__xludf.DUMMYFUNCTION("GOOGLETRANSLATE(B102,""en"",""zh"")"),"总票价")</f>
        <v>总票价</v>
      </c>
      <c r="L102" s="4" t="str">
        <f>IFERROR(__xludf.DUMMYFUNCTION("GOOGLETRANSLATE(B102,""en"",""es"")"),"Tarifa total")</f>
        <v>Tarifa total</v>
      </c>
      <c r="M102" s="4" t="str">
        <f>IFERROR(__xludf.DUMMYFUNCTION("GOOGLETRANSLATE(B102,""en"",""iw"")"),"מחיר כולל")</f>
        <v>מחיר כולל</v>
      </c>
      <c r="N102" s="4" t="str">
        <f>IFERROR(__xludf.DUMMYFUNCTION("GOOGLETRANSLATE(B102,""en"",""bn"")"),"মোট ভাড়া")</f>
        <v>মোট ভাড়া</v>
      </c>
      <c r="O102" s="4" t="str">
        <f>IFERROR(__xludf.DUMMYFUNCTION("GOOGLETRANSLATE(B102,""en"",""pt"")"),"Tarifa Total")</f>
        <v>Tarifa Total</v>
      </c>
    </row>
    <row r="103">
      <c r="A103" s="7" t="s">
        <v>303</v>
      </c>
      <c r="B103" s="3" t="s">
        <v>304</v>
      </c>
      <c r="C103" s="4" t="str">
        <f>IFERROR(__xludf.DUMMYFUNCTION("GOOGLETRANSLATE(B103,""en"",""hi"")"),"नकद")</f>
        <v>नकद</v>
      </c>
      <c r="D103" s="6" t="s">
        <v>305</v>
      </c>
      <c r="E103" s="4" t="str">
        <f>IFERROR(__xludf.DUMMYFUNCTION("GOOGLETRANSLATE(B103,""en"",""fr"")"),"Espèces")</f>
        <v>Espèces</v>
      </c>
      <c r="F103" s="4" t="str">
        <f>IFERROR(__xludf.DUMMYFUNCTION("GOOGLETRANSLATE(B103,""en"",""tr"")"),"Peşin")</f>
        <v>Peşin</v>
      </c>
      <c r="G103" s="4" t="str">
        <f>IFERROR(__xludf.DUMMYFUNCTION("GOOGLETRANSLATE(B103,""en"",""ru"")"),"Наличные")</f>
        <v>Наличные</v>
      </c>
      <c r="H103" s="4" t="str">
        <f>IFERROR(__xludf.DUMMYFUNCTION("GOOGLETRANSLATE(B103,""en"",""it"")"),"Contanti")</f>
        <v>Contanti</v>
      </c>
      <c r="I103" s="4" t="str">
        <f>IFERROR(__xludf.DUMMYFUNCTION("GOOGLETRANSLATE(B103,""en"",""de"")"),"Kasse")</f>
        <v>Kasse</v>
      </c>
      <c r="J103" s="4" t="str">
        <f>IFERROR(__xludf.DUMMYFUNCTION("GOOGLETRANSLATE(B103,""en"",""ko"")"),"현금")</f>
        <v>현금</v>
      </c>
      <c r="K103" s="4" t="str">
        <f>IFERROR(__xludf.DUMMYFUNCTION("GOOGLETRANSLATE(B103,""en"",""zh"")"),"现金")</f>
        <v>现金</v>
      </c>
      <c r="L103" s="4" t="str">
        <f>IFERROR(__xludf.DUMMYFUNCTION("GOOGLETRANSLATE(B103,""en"",""es"")"),"Dinero")</f>
        <v>Dinero</v>
      </c>
      <c r="M103" s="4" t="str">
        <f>IFERROR(__xludf.DUMMYFUNCTION("GOOGLETRANSLATE(B103,""en"",""iw"")"),"מְזוּמָנִים")</f>
        <v>מְזוּמָנִים</v>
      </c>
      <c r="N103" s="4" t="str">
        <f>IFERROR(__xludf.DUMMYFUNCTION("GOOGLETRANSLATE(B103,""en"",""bn"")"),"নগদ")</f>
        <v>নগদ</v>
      </c>
      <c r="O103" s="4" t="str">
        <f>IFERROR(__xludf.DUMMYFUNCTION("GOOGLETRANSLATE(B103,""en"",""pt"")"),"Dinheiro")</f>
        <v>Dinheiro</v>
      </c>
    </row>
    <row r="104">
      <c r="A104" s="7" t="s">
        <v>306</v>
      </c>
      <c r="B104" s="14" t="s">
        <v>307</v>
      </c>
      <c r="C104" s="4" t="str">
        <f>IFERROR(__xludf.DUMMYFUNCTION("GOOGLETRANSLATE(B104,""en"",""hi"")"),"विश्वसनीय संपर्क")</f>
        <v>विश्वसनीय संपर्क</v>
      </c>
      <c r="D104" s="6" t="s">
        <v>308</v>
      </c>
      <c r="E104" s="4" t="str">
        <f>IFERROR(__xludf.DUMMYFUNCTION("GOOGLETRANSLATE(B104,""en"",""fr"")"),"Contact de confiance")</f>
        <v>Contact de confiance</v>
      </c>
      <c r="F104" s="4" t="str">
        <f>IFERROR(__xludf.DUMMYFUNCTION("GOOGLETRANSLATE(B104,""en"",""tr"")"),"Güvenilir İletişim")</f>
        <v>Güvenilir İletişim</v>
      </c>
      <c r="G104" s="4" t="str">
        <f>IFERROR(__xludf.DUMMYFUNCTION("GOOGLETRANSLATE(B104,""en"",""ru"")"),"Доверенный контакт")</f>
        <v>Доверенный контакт</v>
      </c>
      <c r="H104" s="4" t="str">
        <f>IFERROR(__xludf.DUMMYFUNCTION("GOOGLETRANSLATE(B104,""en"",""it"")"),"Contatto di fiducia")</f>
        <v>Contatto di fiducia</v>
      </c>
      <c r="I104" s="4" t="str">
        <f>IFERROR(__xludf.DUMMYFUNCTION("GOOGLETRANSLATE(B104,""en"",""de"")"),"Vertrauenswürdiger Kontakt")</f>
        <v>Vertrauenswürdiger Kontakt</v>
      </c>
      <c r="J104" s="4" t="str">
        <f>IFERROR(__xludf.DUMMYFUNCTION("GOOGLETRANSLATE(B104,""en"",""ko"")"),"신뢰할 수 있는 연락처")</f>
        <v>신뢰할 수 있는 연락처</v>
      </c>
      <c r="K104" s="4" t="str">
        <f>IFERROR(__xludf.DUMMYFUNCTION("GOOGLETRANSLATE(B104,""en"",""zh"")"),"可信联系人")</f>
        <v>可信联系人</v>
      </c>
      <c r="L104" s="4" t="str">
        <f>IFERROR(__xludf.DUMMYFUNCTION("GOOGLETRANSLATE(B104,""en"",""es"")"),"Contacto de confianza")</f>
        <v>Contacto de confianza</v>
      </c>
      <c r="M104" s="4" t="str">
        <f>IFERROR(__xludf.DUMMYFUNCTION("GOOGLETRANSLATE(B104,""en"",""iw"")"),"איש קשר מהימן")</f>
        <v>איש קשר מהימן</v>
      </c>
      <c r="N104" s="4" t="str">
        <f>IFERROR(__xludf.DUMMYFUNCTION("GOOGLETRANSLATE(B104,""en"",""bn"")"),"বিশ্বস্ত যোগাযোগ")</f>
        <v>বিশ্বস্ত যোগাযোগ</v>
      </c>
      <c r="O104" s="4" t="str">
        <f>IFERROR(__xludf.DUMMYFUNCTION("GOOGLETRANSLATE(B104,""en"",""pt"")"),"Contato confiável")</f>
        <v>Contato confiável</v>
      </c>
    </row>
    <row r="105">
      <c r="A105" s="7" t="s">
        <v>309</v>
      </c>
      <c r="B105" s="12" t="s">
        <v>310</v>
      </c>
      <c r="C105" s="4" t="str">
        <f>IFERROR(__xludf.DUMMYFUNCTION("GOOGLETRANSLATE(B105,""en"",""hi"")"),"अपनी यात्रा की स्थिति साझा करें")</f>
        <v>अपनी यात्रा की स्थिति साझा करें</v>
      </c>
      <c r="D105" s="6" t="s">
        <v>311</v>
      </c>
      <c r="E105" s="4" t="str">
        <f>IFERROR(__xludf.DUMMYFUNCTION("GOOGLETRANSLATE(B105,""en"",""fr"")"),"Partagez le statut de votre voyage")</f>
        <v>Partagez le statut de votre voyage</v>
      </c>
      <c r="F105" s="4" t="str">
        <f>IFERROR(__xludf.DUMMYFUNCTION("GOOGLETRANSLATE(B105,""en"",""tr"")"),"Seyahat durumunuzu paylaşın")</f>
        <v>Seyahat durumunuzu paylaşın</v>
      </c>
      <c r="G105" s="4" t="str">
        <f>IFERROR(__xludf.DUMMYFUNCTION("GOOGLETRANSLATE(B105,""en"",""ru"")"),"Поделитесь статусом своей поездки")</f>
        <v>Поделитесь статусом своей поездки</v>
      </c>
      <c r="H105" s="4" t="str">
        <f>IFERROR(__xludf.DUMMYFUNCTION("GOOGLETRANSLATE(B105,""en"",""it"")"),"Condividi lo stato del tuo viaggio")</f>
        <v>Condividi lo stato del tuo viaggio</v>
      </c>
      <c r="I105" s="4" t="str">
        <f>IFERROR(__xludf.DUMMYFUNCTION("GOOGLETRANSLATE(B105,""en"",""de"")"),"Teilen Sie Ihren Reisestatus")</f>
        <v>Teilen Sie Ihren Reisestatus</v>
      </c>
      <c r="J105" s="4" t="str">
        <f>IFERROR(__xludf.DUMMYFUNCTION("GOOGLETRANSLATE(B105,""en"",""ko"")"),"여행 상태를 공유하세요")</f>
        <v>여행 상태를 공유하세요</v>
      </c>
      <c r="K105" s="4" t="str">
        <f>IFERROR(__xludf.DUMMYFUNCTION("GOOGLETRANSLATE(B105,""en"",""zh"")"),"分享您的旅行状态")</f>
        <v>分享您的旅行状态</v>
      </c>
      <c r="L105" s="4" t="str">
        <f>IFERROR(__xludf.DUMMYFUNCTION("GOOGLETRANSLATE(B105,""en"",""es"")"),"Comparte el estado de tu viaje")</f>
        <v>Comparte el estado de tu viaje</v>
      </c>
      <c r="M105" s="4" t="str">
        <f>IFERROR(__xludf.DUMMYFUNCTION("GOOGLETRANSLATE(B105,""en"",""iw"")"),"שתף את סטטוס הטיול שלך")</f>
        <v>שתף את סטטוס הטיול שלך</v>
      </c>
      <c r="N105" s="4" t="str">
        <f>IFERROR(__xludf.DUMMYFUNCTION("GOOGLETRANSLATE(B105,""en"",""bn"")"),"আপনার ট্রিপ স্ট্যাটাস শেয়ার করুন")</f>
        <v>আপনার ট্রিপ স্ট্যাটাস শেয়ার করুন</v>
      </c>
      <c r="O105" s="4" t="str">
        <f>IFERROR(__xludf.DUMMYFUNCTION("GOOGLETRANSLATE(B105,""en"",""pt"")"),"Compartilhe o status da sua viagem")</f>
        <v>Compartilhe o status da sua viagem</v>
      </c>
    </row>
    <row r="106">
      <c r="A106" s="15" t="s">
        <v>312</v>
      </c>
      <c r="B106" s="12" t="s">
        <v>313</v>
      </c>
      <c r="C106" s="4" t="str">
        <f>IFERROR(__xludf.DUMMYFUNCTION("GOOGLETRANSLATE(B106,""en"",""hi"")"),"आप किसी भी यात्रा के दौरान एक या अधिक संपर्कों के साथ अपना लाइव स्थान साझा कर सकेंगे")</f>
        <v>आप किसी भी यात्रा के दौरान एक या अधिक संपर्कों के साथ अपना लाइव स्थान साझा कर सकेंगे</v>
      </c>
      <c r="D106" s="6" t="s">
        <v>314</v>
      </c>
      <c r="E106" s="4" t="str">
        <f>IFERROR(__xludf.DUMMYFUNCTION("GOOGLETRANSLATE(B106,""en"",""fr"")"),"Vous pourrez partager votre position en direct avec un ou plusieurs contacts lors de n'importe quel voyage")</f>
        <v>Vous pourrez partager votre position en direct avec un ou plusieurs contacts lors de n'importe quel voyage</v>
      </c>
      <c r="F106" s="4" t="str">
        <f>IFERROR(__xludf.DUMMYFUNCTION("GOOGLETRANSLATE(B106,""en"",""tr"")"),"Herhangi bir seyahat sırasında canlı konumunuzu bir veya daha fazla kişiyle paylaşabileceksiniz")</f>
        <v>Herhangi bir seyahat sırasında canlı konumunuzu bir veya daha fazla kişiyle paylaşabileceksiniz</v>
      </c>
      <c r="G106" s="4" t="str">
        <f>IFERROR(__xludf.DUMMYFUNCTION("GOOGLETRANSLATE(B106,""en"",""ru"")"),"Вы сможете делиться своим текущим местоположением с одним или несколькими контактами во время любой поездки.")</f>
        <v>Вы сможете делиться своим текущим местоположением с одним или несколькими контактами во время любой поездки.</v>
      </c>
      <c r="H106" s="4" t="str">
        <f>IFERROR(__xludf.DUMMYFUNCTION("GOOGLETRANSLATE(B106,""en"",""it"")"),"Potrai condividere la tua posizione live con uno o più contatti durante qualsiasi viaggio")</f>
        <v>Potrai condividere la tua posizione live con uno o più contatti durante qualsiasi viaggio</v>
      </c>
      <c r="I106" s="4" t="str">
        <f>IFERROR(__xludf.DUMMYFUNCTION("GOOGLETRANSLATE(B106,""en"",""de"")"),"Sie können Ihren Live-Standort während jeder Reise mit einem oder mehreren Kontakten teilen")</f>
        <v>Sie können Ihren Live-Standort während jeder Reise mit einem oder mehreren Kontakten teilen</v>
      </c>
      <c r="J106" s="4" t="str">
        <f>IFERROR(__xludf.DUMMYFUNCTION("GOOGLETRANSLATE(B106,""en"",""ko"")"),"여행 중에 한 명 이상의 연락처와 실시간 위치를 공유할 수 있습니다.")</f>
        <v>여행 중에 한 명 이상의 연락처와 실시간 위치를 공유할 수 있습니다.</v>
      </c>
      <c r="K106" s="4" t="str">
        <f>IFERROR(__xludf.DUMMYFUNCTION("GOOGLETRANSLATE(B106,""en"",""zh"")"),"您可以在旅途中与一个或多个联系人分享您的实时位置")</f>
        <v>您可以在旅途中与一个或多个联系人分享您的实时位置</v>
      </c>
      <c r="L106" s="4" t="str">
        <f>IFERROR(__xludf.DUMMYFUNCTION("GOOGLETRANSLATE(B106,""en"",""es"")"),"Podrás compartir tu ubicación en vivo con uno o más contactos durante cualquier viaje")</f>
        <v>Podrás compartir tu ubicación en vivo con uno o más contactos durante cualquier viaje</v>
      </c>
      <c r="M106" s="4" t="str">
        <f>IFERROR(__xludf.DUMMYFUNCTION("GOOGLETRANSLATE(B106,""en"",""iw"")"),"תוכל לשתף את המיקום החי שלך עם איש קשר אחד או יותר במהלך כל טיול")</f>
        <v>תוכל לשתף את המיקום החי שלך עם איש קשר אחד או יותר במהלך כל טיול</v>
      </c>
      <c r="N106" s="4" t="str">
        <f>IFERROR(__xludf.DUMMYFUNCTION("GOOGLETRANSLATE(B106,""en"",""bn"")"),"আপনি যেকোনো ট্রিপের সময় এক বা একাধিক পরিচিতির সাথে আপনার লাইভ লোকেশন শেয়ার করতে পারবেন")</f>
        <v>আপনি যেকোনো ট্রিপের সময় এক বা একাধিক পরিচিতির সাথে আপনার লাইভ লোকেশন শেয়ার করতে পারবেন</v>
      </c>
      <c r="O106" s="4" t="str">
        <f>IFERROR(__xludf.DUMMYFUNCTION("GOOGLETRANSLATE(B106,""en"",""pt"")"),"Você poderá compartilhar sua localização ao vivo com um ou mais contatos durante qualquer viagem")</f>
        <v>Você poderá compartilhar sua localização ao vivo com um ou mais contatos durante qualquer viagem</v>
      </c>
    </row>
    <row r="107">
      <c r="A107" s="15" t="s">
        <v>315</v>
      </c>
      <c r="B107" s="12" t="s">
        <v>316</v>
      </c>
      <c r="C107" s="4" t="str">
        <f>IFERROR(__xludf.DUMMYFUNCTION("GOOGLETRANSLATE(B107,""en"",""hi"")"),"अपने आपातकालीन संपर्क सेट करें")</f>
        <v>अपने आपातकालीन संपर्क सेट करें</v>
      </c>
      <c r="D107" s="4" t="str">
        <f>IFERROR(__xludf.DUMMYFUNCTION("GOOGLETRANSLATE(B107,""en"",""ar"")"),"تعيين جهات الاتصال في حالات الطوارئ")</f>
        <v>تعيين جهات الاتصال في حالات الطوارئ</v>
      </c>
      <c r="E107" s="4" t="str">
        <f>IFERROR(__xludf.DUMMYFUNCTION("GOOGLETRANSLATE(B107,""en"",""fr"")"),"Définissez vos contacts d'urgence")</f>
        <v>Définissez vos contacts d'urgence</v>
      </c>
      <c r="F107" s="4" t="str">
        <f>IFERROR(__xludf.DUMMYFUNCTION("GOOGLETRANSLATE(B107,""en"",""tr"")"),"Acil durum kişilerinizi ayarlayın")</f>
        <v>Acil durum kişilerinizi ayarlayın</v>
      </c>
      <c r="G107" s="4" t="str">
        <f>IFERROR(__xludf.DUMMYFUNCTION("GOOGLETRANSLATE(B107,""en"",""ru"")"),"Укажите контакты на случай чрезвычайной ситуации")</f>
        <v>Укажите контакты на случай чрезвычайной ситуации</v>
      </c>
      <c r="H107" s="4" t="str">
        <f>IFERROR(__xludf.DUMMYFUNCTION("GOOGLETRANSLATE(B107,""en"",""it"")"),"Imposta i tuoi contatti di emergenza")</f>
        <v>Imposta i tuoi contatti di emergenza</v>
      </c>
      <c r="I107" s="4" t="str">
        <f>IFERROR(__xludf.DUMMYFUNCTION("GOOGLETRANSLATE(B107,""en"",""de"")"),"Legen Sie Ihre Notfallkontakte fest")</f>
        <v>Legen Sie Ihre Notfallkontakte fest</v>
      </c>
      <c r="J107" s="4" t="str">
        <f>IFERROR(__xludf.DUMMYFUNCTION("GOOGLETRANSLATE(B107,""en"",""ko"")"),"비상 연락처를 설정하세요")</f>
        <v>비상 연락처를 설정하세요</v>
      </c>
      <c r="K107" s="4" t="str">
        <f>IFERROR(__xludf.DUMMYFUNCTION("GOOGLETRANSLATE(B107,""en"",""zh"")"),"设置紧急联系人")</f>
        <v>设置紧急联系人</v>
      </c>
      <c r="L107" s="4" t="str">
        <f>IFERROR(__xludf.DUMMYFUNCTION("GOOGLETRANSLATE(B107,""en"",""es"")"),"Establezca sus contactos de emergencia")</f>
        <v>Establezca sus contactos de emergencia</v>
      </c>
      <c r="M107" s="4" t="str">
        <f>IFERROR(__xludf.DUMMYFUNCTION("GOOGLETRANSLATE(B107,""en"",""iw"")"),"הגדר את אנשי הקשר שלך לשעת חירום")</f>
        <v>הגדר את אנשי הקשר שלך לשעת חירום</v>
      </c>
      <c r="N107" s="4" t="str">
        <f>IFERROR(__xludf.DUMMYFUNCTION("GOOGLETRANSLATE(B107,""en"",""bn"")"),"আপনার জরুরি পরিচিতি সেট করুন")</f>
        <v>আপনার জরুরি পরিচিতি সেট করুন</v>
      </c>
      <c r="O107" s="4" t="str">
        <f>IFERROR(__xludf.DUMMYFUNCTION("GOOGLETRANSLATE(B107,""en"",""pt"")"),"Defina seus contatos de emergência")</f>
        <v>Defina seus contatos de emergência</v>
      </c>
    </row>
    <row r="108">
      <c r="A108" s="15" t="s">
        <v>317</v>
      </c>
      <c r="B108" s="12" t="s">
        <v>318</v>
      </c>
      <c r="C108" s="4" t="str">
        <f>IFERROR(__xludf.DUMMYFUNCTION("GOOGLETRANSLATE(B108,""en"",""hi"")"),"हम आपात स्थिति के लिए उत्तरदायी संपर्कों का चयन करने का सुझाव देते हैं, जैसे कि स्थानीय अभिभावक या आस-पास का कोई मित्र।")</f>
        <v>हम आपात स्थिति के लिए उत्तरदायी संपर्कों का चयन करने का सुझाव देते हैं, जैसे कि स्थानीय अभिभावक या आस-पास का कोई मित्र।</v>
      </c>
      <c r="D108" s="4" t="str">
        <f>IFERROR(__xludf.DUMMYFUNCTION("GOOGLETRANSLATE(B108,""en"",""ar"")"),"نقترح عليك اختيار جهات اتصال سريعة الاستجابة في حالات الطوارئ، مثل ولي أمر محلي أو صديق قريب.")</f>
        <v>نقترح عليك اختيار جهات اتصال سريعة الاستجابة في حالات الطوارئ، مثل ولي أمر محلي أو صديق قريب.</v>
      </c>
      <c r="E108" s="4" t="str">
        <f>IFERROR(__xludf.DUMMYFUNCTION("GOOGLETRANSLATE(B108,""en"",""fr"")"),"Nous vous suggérons de sélectionner des contacts réactifs en cas d’urgence, comme un tuteur local ou un ami à proximité.")</f>
        <v>Nous vous suggérons de sélectionner des contacts réactifs en cas d’urgence, comme un tuteur local ou un ami à proximité.</v>
      </c>
      <c r="F108" s="4" t="str">
        <f>IFERROR(__xludf.DUMMYFUNCTION("GOOGLETRANSLATE(B108,""en"",""tr"")"),"Acil durumlar için yerel bir veli veya yakındaki bir arkadaş gibi duyarlı kişileri seçmenizi öneririz.")</f>
        <v>Acil durumlar için yerel bir veli veya yakındaki bir arkadaş gibi duyarlı kişileri seçmenizi öneririz.</v>
      </c>
      <c r="G108" s="4" t="str">
        <f>IFERROR(__xludf.DUMMYFUNCTION("GOOGLETRANSLATE(B108,""en"",""ru"")"),"Мы рекомендуем выбирать ответственных лиц для экстренной связи, например, местного опекуна или друга поблизости.")</f>
        <v>Мы рекомендуем выбирать ответственных лиц для экстренной связи, например, местного опекуна или друга поблизости.</v>
      </c>
      <c r="H108" s="4" t="str">
        <f>IFERROR(__xludf.DUMMYFUNCTION("GOOGLETRANSLATE(B108,""en"",""it"")"),"Ti consigliamo di selezionare contatti reattivi per le emergenze, come un tutore locale o un amico nelle vicinanze.")</f>
        <v>Ti consigliamo di selezionare contatti reattivi per le emergenze, come un tutore locale o un amico nelle vicinanze.</v>
      </c>
      <c r="I108" s="4" t="str">
        <f>IFERROR(__xludf.DUMMYFUNCTION("GOOGLETRANSLATE(B108,""en"",""de"")"),"Wir empfehlen, für Notfälle reaktionsschnelle Kontakte auszuwählen, beispielsweise einen Vormund vor Ort oder einen Freund in der Nähe.")</f>
        <v>Wir empfehlen, für Notfälle reaktionsschnelle Kontakte auszuwählen, beispielsweise einen Vormund vor Ort oder einen Freund in der Nähe.</v>
      </c>
      <c r="J108" s="4" t="str">
        <f>IFERROR(__xludf.DUMMYFUNCTION("GOOGLETRANSLATE(B108,""en"",""ko"")"),"긴급 상황에 대비하여 지역 보호자나 근처에 있는 친구 등 신속하게 대응할 수 있는 연락처를 선택하는 것이 좋습니다.")</f>
        <v>긴급 상황에 대비하여 지역 보호자나 근처에 있는 친구 등 신속하게 대응할 수 있는 연락처를 선택하는 것이 좋습니다.</v>
      </c>
      <c r="K108" s="4" t="str">
        <f>IFERROR(__xludf.DUMMYFUNCTION("GOOGLETRANSLATE(B108,""en"",""zh"")"),"我们建议选择能够应对紧急情况的联系人，例如当地监护人或附近的朋友。")</f>
        <v>我们建议选择能够应对紧急情况的联系人，例如当地监护人或附近的朋友。</v>
      </c>
      <c r="L108" s="4" t="str">
        <f>IFERROR(__xludf.DUMMYFUNCTION("GOOGLETRANSLATE(B108,""en"",""es"")"),"Sugerimos seleccionar contactos receptivos para emergencias, como un tutor local o un amigo cercano.")</f>
        <v>Sugerimos seleccionar contactos receptivos para emergencias, como un tutor local o un amigo cercano.</v>
      </c>
      <c r="M108" s="4" t="str">
        <f>IFERROR(__xludf.DUMMYFUNCTION("GOOGLETRANSLATE(B108,""en"",""iw"")"),"אנו מציעים לבחור אנשי קשר מגיבים עבור 
מצבי חירום, כמו אפוטרופוס מקומי או חבר בקרבת מקום.")</f>
        <v>אנו מציעים לבחור אנשי קשר מגיבים עבור 
מצבי חירום, כמו אפוטרופוס מקומי או חבר בקרבת מקום.</v>
      </c>
      <c r="N108" s="4" t="str">
        <f>IFERROR(__xludf.DUMMYFUNCTION("GOOGLETRANSLATE(B108,""en"",""bn"")"),"আমরা এর জন্য প্রতিক্রিয়াশীল পরিচিতি নির্বাচন করার পরামর্শ দিই 
জরুরী অবস্থা, যেমন স্থানীয় অভিভাবক বা কাছাকাছি বন্ধু।")</f>
        <v>আমরা এর জন্য প্রতিক্রিয়াশীল পরিচিতি নির্বাচন করার পরামর্শ দিই 
জরুরী অবস্থা, যেমন স্থানীয় অভিভাবক বা কাছাকাছি বন্ধু।</v>
      </c>
      <c r="O108" s="4" t="str">
        <f>IFERROR(__xludf.DUMMYFUNCTION("GOOGLETRANSLATE(B108,""en"",""pt"")"),"Sugerimos selecionar contatos que possam responder a emergências, como um responsável local ou um amigo próximo.")</f>
        <v>Sugerimos selecionar contatos que possam responder a emergências, como um responsável local ou um amigo próximo.</v>
      </c>
    </row>
    <row r="109">
      <c r="A109" s="7" t="s">
        <v>319</v>
      </c>
      <c r="B109" s="12" t="s">
        <v>320</v>
      </c>
      <c r="C109" s="4" t="str">
        <f>IFERROR(__xludf.DUMMYFUNCTION("GOOGLETRANSLATE(B109,""en"",""hi"")"),"आपातकालीन संपर्कों के साथ जानकारी साझा करें और
स्वचालित कॉल आरंभ करें।")</f>
        <v>आपातकालीन संपर्कों के साथ जानकारी साझा करें और
स्वचालित कॉल आरंभ करें।</v>
      </c>
      <c r="D109" s="4" t="str">
        <f>IFERROR(__xludf.DUMMYFUNCTION("GOOGLETRANSLATE(B109,""en"",""ar"")"),"شارك المعلومات وابدأ مكالمات تلقائية مع جهات الاتصال في حالات الطوارئ.")</f>
        <v>شارك المعلومات وابدأ مكالمات تلقائية مع جهات الاتصال في حالات الطوارئ.</v>
      </c>
      <c r="E109" s="4" t="str">
        <f>IFERROR(__xludf.DUMMYFUNCTION("GOOGLETRANSLATE(B109,""en"",""fr"")"),"Partagez des informations et lancez des appels automatiques
avec les contacts d’urgence.")</f>
        <v>Partagez des informations et lancez des appels automatiques
avec les contacts d’urgence.</v>
      </c>
      <c r="F109" s="4" t="str">
        <f>IFERROR(__xludf.DUMMYFUNCTION("GOOGLETRANSLATE(B109,""en"",""tr"")"),"Acil durum irtibat kişileriyle bilgi paylaşın ve otomatik aramalar başlatın.")</f>
        <v>Acil durum irtibat kişileriyle bilgi paylaşın ve otomatik aramalar başlatın.</v>
      </c>
      <c r="G109" s="4" t="str">
        <f>IFERROR(__xludf.DUMMYFUNCTION("GOOGLETRANSLATE(B109,""en"",""ru"")"),"Обменивайтесь информацией и инициируйте автоматические звонки
контактам экстренной связи.")</f>
        <v>Обменивайтесь информацией и инициируйте автоматические звонки
контактам экстренной связи.</v>
      </c>
      <c r="H109" s="4" t="str">
        <f>IFERROR(__xludf.DUMMYFUNCTION("GOOGLETRANSLATE(B109,""en"",""it"")"),"Condividi informazioni e avvia chiamate automatiche
con i contatti di emergenza.")</f>
        <v>Condividi informazioni e avvia chiamate automatiche
con i contatti di emergenza.</v>
      </c>
      <c r="I109" s="4" t="str">
        <f>IFERROR(__xludf.DUMMYFUNCTION("GOOGLETRANSLATE(B109,""en"",""de"")"),"Teilen Sie Informationen und leiten Sie automatische Anrufe an Notfallkontakte ein.")</f>
        <v>Teilen Sie Informationen und leiten Sie automatische Anrufe an Notfallkontakte ein.</v>
      </c>
      <c r="J109" s="4" t="str">
        <f>IFERROR(__xludf.DUMMYFUNCTION("GOOGLETRANSLATE(B109,""en"",""ko"")"),"비상 연락처와 정보를 공유하고 자동 통화를 시작하세요.")</f>
        <v>비상 연락처와 정보를 공유하고 자동 통화를 시작하세요.</v>
      </c>
      <c r="K109" s="4" t="str">
        <f>IFERROR(__xludf.DUMMYFUNCTION("GOOGLETRANSLATE(B109,""en"",""zh"")"),"与紧急联系人共享信息并发起自动呼叫。")</f>
        <v>与紧急联系人共享信息并发起自动呼叫。</v>
      </c>
      <c r="L109" s="4" t="str">
        <f>IFERROR(__xludf.DUMMYFUNCTION("GOOGLETRANSLATE(B109,""en"",""es"")"),"Comparta información e inicie llamadas automáticas con sus contactos de emergencia.")</f>
        <v>Comparta información e inicie llamadas automáticas con sus contactos de emergencia.</v>
      </c>
      <c r="M109" s="4" t="str">
        <f>IFERROR(__xludf.DUMMYFUNCTION("GOOGLETRANSLATE(B109,""en"",""iw"")"),"שתף מידע והתחל שיחות אוטומטיות
עם אנשי קשר לשעת חירום.")</f>
        <v>שתף מידע והתחל שיחות אוטומטיות
עם אנשי קשר לשעת חירום.</v>
      </c>
      <c r="N109" s="4" t="str">
        <f>IFERROR(__xludf.DUMMYFUNCTION("GOOGLETRANSLATE(B109,""en"",""bn"")"),"তথ্য শেয়ার করুন এবং স্বয়ংক্রিয় কল শুরু করুন
জরুরী যোগাযোগের সাথে।")</f>
        <v>তথ্য শেয়ার করুন এবং স্বয়ংক্রিয় কল শুরু করুন
জরুরী যোগাযোগের সাথে।</v>
      </c>
      <c r="O109" s="4" t="str">
        <f>IFERROR(__xludf.DUMMYFUNCTION("GOOGLETRANSLATE(B109,""en"",""pt"")"),"Compartilhe informações e inicie chamadas automáticas
com contatos de emergência.")</f>
        <v>Compartilhe informações e inicie chamadas automáticas
com contatos de emergência.</v>
      </c>
    </row>
    <row r="110">
      <c r="A110" s="7" t="s">
        <v>321</v>
      </c>
      <c r="B110" s="3" t="s">
        <v>322</v>
      </c>
      <c r="C110" s="4" t="str">
        <f>IFERROR(__xludf.DUMMYFUNCTION("GOOGLETRANSLATE(B110,""en"",""hi"")"),"जमा करना")</f>
        <v>जमा करना</v>
      </c>
      <c r="D110" s="6" t="s">
        <v>323</v>
      </c>
      <c r="E110" s="4" t="str">
        <f>IFERROR(__xludf.DUMMYFUNCTION("GOOGLETRANSLATE(B110,""en"",""fr"")"),"Soumettre")</f>
        <v>Soumettre</v>
      </c>
      <c r="F110" s="4" t="str">
        <f>IFERROR(__xludf.DUMMYFUNCTION("GOOGLETRANSLATE(B110,""en"",""tr"")"),"Göndermek")</f>
        <v>Göndermek</v>
      </c>
      <c r="G110" s="4" t="str">
        <f>IFERROR(__xludf.DUMMYFUNCTION("GOOGLETRANSLATE(B110,""en"",""ru"")"),"Представлять на рассмотрение")</f>
        <v>Представлять на рассмотрение</v>
      </c>
      <c r="H110" s="4" t="str">
        <f>IFERROR(__xludf.DUMMYFUNCTION("GOOGLETRANSLATE(B110,""en"",""it"")"),"Invia")</f>
        <v>Invia</v>
      </c>
      <c r="I110" s="4" t="str">
        <f>IFERROR(__xludf.DUMMYFUNCTION("GOOGLETRANSLATE(B110,""en"",""de"")"),"Einreichen")</f>
        <v>Einreichen</v>
      </c>
      <c r="J110" s="4" t="str">
        <f>IFERROR(__xludf.DUMMYFUNCTION("GOOGLETRANSLATE(B110,""en"",""ko"")"),"제출하다")</f>
        <v>제출하다</v>
      </c>
      <c r="K110" s="4" t="str">
        <f>IFERROR(__xludf.DUMMYFUNCTION("GOOGLETRANSLATE(B110,""en"",""zh"")"),"提交")</f>
        <v>提交</v>
      </c>
      <c r="L110" s="4" t="str">
        <f>IFERROR(__xludf.DUMMYFUNCTION("GOOGLETRANSLATE(B110,""en"",""es"")"),"Entregar")</f>
        <v>Entregar</v>
      </c>
      <c r="M110" s="4" t="str">
        <f>IFERROR(__xludf.DUMMYFUNCTION("GOOGLETRANSLATE(B110,""en"",""iw"")"),"לְהַגִישׁ")</f>
        <v>לְהַגִישׁ</v>
      </c>
      <c r="N110" s="4" t="str">
        <f>IFERROR(__xludf.DUMMYFUNCTION("GOOGLETRANSLATE(B110,""en"",""bn"")"),"জমা দিন")</f>
        <v>জমা দিন</v>
      </c>
      <c r="O110" s="4" t="str">
        <f>IFERROR(__xludf.DUMMYFUNCTION("GOOGLETRANSLATE(B110,""en"",""pt"")"),"Enviar")</f>
        <v>Enviar</v>
      </c>
    </row>
    <row r="111">
      <c r="A111" s="7" t="s">
        <v>324</v>
      </c>
      <c r="B111" s="9" t="s">
        <v>325</v>
      </c>
      <c r="C111" s="4" t="str">
        <f>IFERROR(__xludf.DUMMYFUNCTION("GOOGLETRANSLATE(B111,""en"",""hi"")"),"अपनी प्रतिक्रिया दें")</f>
        <v>अपनी प्रतिक्रिया दें</v>
      </c>
      <c r="D111" s="6" t="s">
        <v>326</v>
      </c>
      <c r="E111" s="4" t="str">
        <f>IFERROR(__xludf.DUMMYFUNCTION("GOOGLETRANSLATE(B111,""en"",""fr"")"),"Donnez votre avis")</f>
        <v>Donnez votre avis</v>
      </c>
      <c r="F111" s="4" t="str">
        <f>IFERROR(__xludf.DUMMYFUNCTION("GOOGLETRANSLATE(B111,""en"",""tr"")"),"Geri bildiriminizi verin")</f>
        <v>Geri bildiriminizi verin</v>
      </c>
      <c r="G111" s="4" t="str">
        <f>IFERROR(__xludf.DUMMYFUNCTION("GOOGLETRANSLATE(B111,""en"",""ru"")"),"Оставьте свой отзыв")</f>
        <v>Оставьте свой отзыв</v>
      </c>
      <c r="H111" s="4" t="str">
        <f>IFERROR(__xludf.DUMMYFUNCTION("GOOGLETRANSLATE(B111,""en"",""it"")"),"Dai il tuo feedback")</f>
        <v>Dai il tuo feedback</v>
      </c>
      <c r="I111" s="4" t="str">
        <f>IFERROR(__xludf.DUMMYFUNCTION("GOOGLETRANSLATE(B111,""en"",""de"")"),"Geben Sie uns Ihr Feedback")</f>
        <v>Geben Sie uns Ihr Feedback</v>
      </c>
      <c r="J111" s="4" t="str">
        <f>IFERROR(__xludf.DUMMYFUNCTION("GOOGLETRANSLATE(B111,""en"",""ko"")"),"피드백을 주세요")</f>
        <v>피드백을 주세요</v>
      </c>
      <c r="K111" s="4" t="str">
        <f>IFERROR(__xludf.DUMMYFUNCTION("GOOGLETRANSLATE(B111,""en"",""zh"")"),"提供您的反馈")</f>
        <v>提供您的反馈</v>
      </c>
      <c r="L111" s="4" t="str">
        <f>IFERROR(__xludf.DUMMYFUNCTION("GOOGLETRANSLATE(B111,""en"",""es"")"),"Danos tu opinión")</f>
        <v>Danos tu opinión</v>
      </c>
      <c r="M111" s="4" t="str">
        <f>IFERROR(__xludf.DUMMYFUNCTION("GOOGLETRANSLATE(B111,""en"",""iw"")"),"תן את המשוב שלך")</f>
        <v>תן את המשוב שלך</v>
      </c>
      <c r="N111" s="4" t="str">
        <f>IFERROR(__xludf.DUMMYFUNCTION("GOOGLETRANSLATE(B111,""en"",""bn"")"),"আপনার মতামত দিন")</f>
        <v>আপনার মতামত দিন</v>
      </c>
      <c r="O111" s="4" t="str">
        <f>IFERROR(__xludf.DUMMYFUNCTION("GOOGLETRANSLATE(B111,""en"",""pt"")"),"Dê seu feedback")</f>
        <v>Dê seu feedback</v>
      </c>
    </row>
    <row r="112">
      <c r="A112" s="7" t="s">
        <v>327</v>
      </c>
      <c r="B112" s="3" t="s">
        <v>328</v>
      </c>
      <c r="C112" s="4" t="str">
        <f>IFERROR(__xludf.DUMMYFUNCTION("GOOGLETRANSLATE(B112,""en"",""hi"")"),"परीक्षण")</f>
        <v>परीक्षण</v>
      </c>
      <c r="D112" s="6" t="s">
        <v>329</v>
      </c>
      <c r="E112" s="4" t="str">
        <f>IFERROR(__xludf.DUMMYFUNCTION("GOOGLETRANSLATE(B112,""en"",""fr"")"),"Essai")</f>
        <v>Essai</v>
      </c>
      <c r="F112" s="4" t="str">
        <f>IFERROR(__xludf.DUMMYFUNCTION("GOOGLETRANSLATE(B112,""en"",""tr"")"),"Test")</f>
        <v>Test</v>
      </c>
      <c r="G112" s="4" t="str">
        <f>IFERROR(__xludf.DUMMYFUNCTION("GOOGLETRANSLATE(B112,""en"",""ru"")"),"Тестирование")</f>
        <v>Тестирование</v>
      </c>
      <c r="H112" s="4" t="str">
        <f>IFERROR(__xludf.DUMMYFUNCTION("GOOGLETRANSLATE(B112,""en"",""it"")"),"Test")</f>
        <v>Test</v>
      </c>
      <c r="I112" s="4" t="str">
        <f>IFERROR(__xludf.DUMMYFUNCTION("GOOGLETRANSLATE(B112,""en"",""de"")"),"Testen")</f>
        <v>Testen</v>
      </c>
      <c r="J112" s="4" t="str">
        <f>IFERROR(__xludf.DUMMYFUNCTION("GOOGLETRANSLATE(B112,""en"",""ko"")"),"테스트")</f>
        <v>테스트</v>
      </c>
      <c r="K112" s="4" t="str">
        <f>IFERROR(__xludf.DUMMYFUNCTION("GOOGLETRANSLATE(B112,""en"",""zh"")"),"测试")</f>
        <v>测试</v>
      </c>
      <c r="L112" s="4" t="str">
        <f>IFERROR(__xludf.DUMMYFUNCTION("GOOGLETRANSLATE(B112,""en"",""es"")"),"Pruebas")</f>
        <v>Pruebas</v>
      </c>
      <c r="M112" s="4" t="str">
        <f>IFERROR(__xludf.DUMMYFUNCTION("GOOGLETRANSLATE(B112,""en"",""iw"")"),"בּוֹחֵן")</f>
        <v>בּוֹחֵן</v>
      </c>
      <c r="N112" s="4" t="str">
        <f>IFERROR(__xludf.DUMMYFUNCTION("GOOGLETRANSLATE(B112,""en"",""bn"")"),"টেস্টিং")</f>
        <v>টেস্টিং</v>
      </c>
      <c r="O112" s="4" t="str">
        <f>IFERROR(__xludf.DUMMYFUNCTION("GOOGLETRANSLATE(B112,""en"",""pt"")"),"Teste")</f>
        <v>Teste</v>
      </c>
    </row>
    <row r="113">
      <c r="A113" s="7" t="s">
        <v>330</v>
      </c>
      <c r="B113" s="3" t="s">
        <v>331</v>
      </c>
      <c r="C113" s="4" t="str">
        <f>IFERROR(__xludf.DUMMYFUNCTION("GOOGLETRANSLATE(B113,""en"",""hi"")"),"रद्द करने का कारण")</f>
        <v>रद्द करने का कारण</v>
      </c>
      <c r="D113" s="6" t="s">
        <v>332</v>
      </c>
      <c r="E113" s="4" t="str">
        <f>IFERROR(__xludf.DUMMYFUNCTION("GOOGLETRANSLATE(B113,""en"",""fr"")"),"Annuler la raison")</f>
        <v>Annuler la raison</v>
      </c>
      <c r="F113" s="4" t="str">
        <f>IFERROR(__xludf.DUMMYFUNCTION("GOOGLETRANSLATE(B113,""en"",""tr"")"),"İptal Nedeni")</f>
        <v>İptal Nedeni</v>
      </c>
      <c r="G113" s="4" t="str">
        <f>IFERROR(__xludf.DUMMYFUNCTION("GOOGLETRANSLATE(B113,""en"",""ru"")"),"Причина отмены")</f>
        <v>Причина отмены</v>
      </c>
      <c r="H113" s="4" t="str">
        <f>IFERROR(__xludf.DUMMYFUNCTION("GOOGLETRANSLATE(B113,""en"",""it"")"),"Motivo dell'annullamento")</f>
        <v>Motivo dell'annullamento</v>
      </c>
      <c r="I113" s="4" t="str">
        <f>IFERROR(__xludf.DUMMYFUNCTION("GOOGLETRANSLATE(B113,""en"",""de"")"),"Grund für die Stornierung")</f>
        <v>Grund für die Stornierung</v>
      </c>
      <c r="J113" s="4" t="str">
        <f>IFERROR(__xludf.DUMMYFUNCTION("GOOGLETRANSLATE(B113,""en"",""ko"")"),"취소 사유")</f>
        <v>취소 사유</v>
      </c>
      <c r="K113" s="4" t="str">
        <f>IFERROR(__xludf.DUMMYFUNCTION("GOOGLETRANSLATE(B113,""en"",""zh"")"),"取消原因")</f>
        <v>取消原因</v>
      </c>
      <c r="L113" s="4" t="str">
        <f>IFERROR(__xludf.DUMMYFUNCTION("GOOGLETRANSLATE(B113,""en"",""es"")"),"Motivo de cancelación")</f>
        <v>Motivo de cancelación</v>
      </c>
      <c r="M113" s="4" t="str">
        <f>IFERROR(__xludf.DUMMYFUNCTION("GOOGLETRANSLATE(B113,""en"",""iw"")"),"בטל סיבה")</f>
        <v>בטל סיבה</v>
      </c>
      <c r="N113" s="4" t="str">
        <f>IFERROR(__xludf.DUMMYFUNCTION("GOOGLETRANSLATE(B113,""en"",""bn"")"),"কারণ বাতিল করুন")</f>
        <v>কারণ বাতিল করুন</v>
      </c>
      <c r="O113" s="4" t="str">
        <f>IFERROR(__xludf.DUMMYFUNCTION("GOOGLETRANSLATE(B113,""en"",""pt"")"),"Motivo do cancelamento")</f>
        <v>Motivo do cancelamento</v>
      </c>
    </row>
    <row r="114">
      <c r="A114" s="7" t="s">
        <v>333</v>
      </c>
      <c r="B114" s="3" t="s">
        <v>334</v>
      </c>
      <c r="C114" s="4" t="str">
        <f>IFERROR(__xludf.DUMMYFUNCTION("GOOGLETRANSLATE(B114,""en"",""hi"")"),"अनुरोध को रद्द करें")</f>
        <v>अनुरोध को रद्द करें</v>
      </c>
      <c r="D114" s="6" t="s">
        <v>335</v>
      </c>
      <c r="E114" s="4" t="str">
        <f>IFERROR(__xludf.DUMMYFUNCTION("GOOGLETRANSLATE(B114,""en"",""fr"")"),"Annuler la demande")</f>
        <v>Annuler la demande</v>
      </c>
      <c r="F114" s="4" t="str">
        <f>IFERROR(__xludf.DUMMYFUNCTION("GOOGLETRANSLATE(B114,""en"",""tr"")"),"İsteği İptal Et")</f>
        <v>İsteği İptal Et</v>
      </c>
      <c r="G114" s="4" t="str">
        <f>IFERROR(__xludf.DUMMYFUNCTION("GOOGLETRANSLATE(B114,""en"",""ru"")"),"Отменить запрос")</f>
        <v>Отменить запрос</v>
      </c>
      <c r="H114" s="4" t="str">
        <f>IFERROR(__xludf.DUMMYFUNCTION("GOOGLETRANSLATE(B114,""en"",""it"")"),"Annulla richiesta")</f>
        <v>Annulla richiesta</v>
      </c>
      <c r="I114" s="4" t="str">
        <f>IFERROR(__xludf.DUMMYFUNCTION("GOOGLETRANSLATE(B114,""en"",""de"")"),"Anfrage abbrechen")</f>
        <v>Anfrage abbrechen</v>
      </c>
      <c r="J114" s="4" t="str">
        <f>IFERROR(__xludf.DUMMYFUNCTION("GOOGLETRANSLATE(B114,""en"",""ko"")"),"요청 취소")</f>
        <v>요청 취소</v>
      </c>
      <c r="K114" s="4" t="str">
        <f>IFERROR(__xludf.DUMMYFUNCTION("GOOGLETRANSLATE(B114,""en"",""zh"")"),"取消请求")</f>
        <v>取消请求</v>
      </c>
      <c r="L114" s="4" t="str">
        <f>IFERROR(__xludf.DUMMYFUNCTION("GOOGLETRANSLATE(B114,""en"",""es"")"),"Cancelar solicitud")</f>
        <v>Cancelar solicitud</v>
      </c>
      <c r="M114" s="4" t="str">
        <f>IFERROR(__xludf.DUMMYFUNCTION("GOOGLETRANSLATE(B114,""en"",""iw"")"),"בטל את הבקשה")</f>
        <v>בטל את הבקשה</v>
      </c>
      <c r="N114" s="4" t="str">
        <f>IFERROR(__xludf.DUMMYFUNCTION("GOOGLETRANSLATE(B114,""en"",""bn"")"),"অনুরোধ বাতিল করুন")</f>
        <v>অনুরোধ বাতিল করুন</v>
      </c>
      <c r="O114" s="4" t="str">
        <f>IFERROR(__xludf.DUMMYFUNCTION("GOOGLETRANSLATE(B114,""en"",""pt"")"),"Cancelar solicitação")</f>
        <v>Cancelar solicitação</v>
      </c>
    </row>
    <row r="115">
      <c r="A115" s="7" t="s">
        <v>336</v>
      </c>
      <c r="B115" s="3" t="s">
        <v>337</v>
      </c>
      <c r="C115" s="4" t="str">
        <f>IFERROR(__xludf.DUMMYFUNCTION("GOOGLETRANSLATE(B115,""en"",""hi"")"),"रद्द करने का कारण दर्ज करें")</f>
        <v>रद्द करने का कारण दर्ज करें</v>
      </c>
      <c r="D115" s="6" t="s">
        <v>338</v>
      </c>
      <c r="E115" s="4" t="str">
        <f>IFERROR(__xludf.DUMMYFUNCTION("GOOGLETRANSLATE(B115,""en"",""fr"")"),"Entrez la raison d'annulation")</f>
        <v>Entrez la raison d'annulation</v>
      </c>
      <c r="F115" s="4" t="str">
        <f>IFERROR(__xludf.DUMMYFUNCTION("GOOGLETRANSLATE(B115,""en"",""tr"")"),"İptal Nedenini Girin")</f>
        <v>İptal Nedenini Girin</v>
      </c>
      <c r="G115" s="4" t="str">
        <f>IFERROR(__xludf.DUMMYFUNCTION("GOOGLETRANSLATE(B115,""en"",""ru"")"),"Введите причину отмены")</f>
        <v>Введите причину отмены</v>
      </c>
      <c r="H115" s="4" t="str">
        <f>IFERROR(__xludf.DUMMYFUNCTION("GOOGLETRANSLATE(B115,""en"",""it"")"),"Inserisci il motivo dell'annullamento")</f>
        <v>Inserisci il motivo dell'annullamento</v>
      </c>
      <c r="I115" s="4" t="str">
        <f>IFERROR(__xludf.DUMMYFUNCTION("GOOGLETRANSLATE(B115,""en"",""de"")"),"Geben Sie den Grund für die Stornierung ein")</f>
        <v>Geben Sie den Grund für die Stornierung ein</v>
      </c>
      <c r="J115" s="4" t="str">
        <f>IFERROR(__xludf.DUMMYFUNCTION("GOOGLETRANSLATE(B115,""en"",""ko"")"),"취소 사유를 입력하세요")</f>
        <v>취소 사유를 입력하세요</v>
      </c>
      <c r="K115" s="4" t="str">
        <f>IFERROR(__xludf.DUMMYFUNCTION("GOOGLETRANSLATE(B115,""en"",""zh"")"),"输入取消原因")</f>
        <v>输入取消原因</v>
      </c>
      <c r="L115" s="4" t="str">
        <f>IFERROR(__xludf.DUMMYFUNCTION("GOOGLETRANSLATE(B115,""en"",""es"")"),"Ingrese el motivo de cancelación")</f>
        <v>Ingrese el motivo de cancelación</v>
      </c>
      <c r="M115" s="4" t="str">
        <f>IFERROR(__xludf.DUMMYFUNCTION("GOOGLETRANSLATE(B115,""en"",""iw"")"),"הזן סיבת ביטול")</f>
        <v>הזן סיבת ביטול</v>
      </c>
      <c r="N115" s="4" t="str">
        <f>IFERROR(__xludf.DUMMYFUNCTION("GOOGLETRANSLATE(B115,""en"",""bn"")"),"বাতিলের কারণ লিখুন")</f>
        <v>বাতিলের কারণ লিখুন</v>
      </c>
      <c r="O115" s="4" t="str">
        <f>IFERROR(__xludf.DUMMYFUNCTION("GOOGLETRANSLATE(B115,""en"",""pt"")"),"Digite o motivo do cancelamento")</f>
        <v>Digite o motivo do cancelamento</v>
      </c>
    </row>
    <row r="116">
      <c r="A116" s="7" t="s">
        <v>339</v>
      </c>
      <c r="B116" s="8" t="s">
        <v>340</v>
      </c>
      <c r="C116" s="4" t="str">
        <f>IFERROR(__xludf.DUMMYFUNCTION("GOOGLETRANSLATE(B116,""en"",""hi"")"),"ड्रॉप स्थान चुनें")</f>
        <v>ड्रॉप स्थान चुनें</v>
      </c>
      <c r="D116" s="6" t="s">
        <v>341</v>
      </c>
      <c r="E116" s="4" t="str">
        <f>IFERROR(__xludf.DUMMYFUNCTION("GOOGLETRANSLATE(B116,""en"",""fr"")"),"Choisissez l'emplacement de dépôt")</f>
        <v>Choisissez l'emplacement de dépôt</v>
      </c>
      <c r="F116" s="4" t="str">
        <f>IFERROR(__xludf.DUMMYFUNCTION("GOOGLETRANSLATE(B116,""en"",""tr"")"),"Bırakma Yerini Seçin")</f>
        <v>Bırakma Yerini Seçin</v>
      </c>
      <c r="G116" s="4" t="str">
        <f>IFERROR(__xludf.DUMMYFUNCTION("GOOGLETRANSLATE(B116,""en"",""ru"")"),"Выберите место сброса")</f>
        <v>Выберите место сброса</v>
      </c>
      <c r="H116" s="4" t="str">
        <f>IFERROR(__xludf.DUMMYFUNCTION("GOOGLETRANSLATE(B116,""en"",""it"")"),"Scegli la posizione di rilascio")</f>
        <v>Scegli la posizione di rilascio</v>
      </c>
      <c r="I116" s="4" t="str">
        <f>IFERROR(__xludf.DUMMYFUNCTION("GOOGLETRANSLATE(B116,""en"",""de"")"),"Wählen Sie den Ablageort")</f>
        <v>Wählen Sie den Ablageort</v>
      </c>
      <c r="J116" s="4" t="str">
        <f>IFERROR(__xludf.DUMMYFUNCTION("GOOGLETRANSLATE(B116,""en"",""ko"")"),"반납 위치 선택")</f>
        <v>반납 위치 선택</v>
      </c>
      <c r="K116" s="4" t="str">
        <f>IFERROR(__xludf.DUMMYFUNCTION("GOOGLETRANSLATE(B116,""en"",""zh"")"),"选择投放地点")</f>
        <v>选择投放地点</v>
      </c>
      <c r="L116" s="4" t="str">
        <f>IFERROR(__xludf.DUMMYFUNCTION("GOOGLETRANSLATE(B116,""en"",""es"")"),"Elija la ubicación de entrega")</f>
        <v>Elija la ubicación de entrega</v>
      </c>
      <c r="M116" s="4" t="str">
        <f>IFERROR(__xludf.DUMMYFUNCTION("GOOGLETRANSLATE(B116,""en"",""iw"")"),"בחר מיקום שחרור")</f>
        <v>בחר מיקום שחרור</v>
      </c>
      <c r="N116" s="4" t="str">
        <f>IFERROR(__xludf.DUMMYFUNCTION("GOOGLETRANSLATE(B116,""en"",""bn"")"),"ড্রপ অবস্থান নির্বাচন করুন")</f>
        <v>ড্রপ অবস্থান নির্বাচন করুন</v>
      </c>
      <c r="O116" s="4" t="str">
        <f>IFERROR(__xludf.DUMMYFUNCTION("GOOGLETRANSLATE(B116,""en"",""pt"")"),"Escolha o local de entrega")</f>
        <v>Escolha o local de entrega</v>
      </c>
    </row>
    <row r="117">
      <c r="A117" s="7" t="s">
        <v>342</v>
      </c>
      <c r="B117" s="3" t="s">
        <v>343</v>
      </c>
      <c r="C117" s="4" t="str">
        <f>IFERROR(__xludf.DUMMYFUNCTION("GOOGLETRANSLATE(B117,""en"",""hi"")"),"स्थान चुनें")</f>
        <v>स्थान चुनें</v>
      </c>
      <c r="D117" s="6" t="s">
        <v>344</v>
      </c>
      <c r="E117" s="4" t="str">
        <f>IFERROR(__xludf.DUMMYFUNCTION("GOOGLETRANSLATE(B117,""en"",""fr"")"),"Choisissez l'emplacement de sélection")</f>
        <v>Choisissez l'emplacement de sélection</v>
      </c>
      <c r="F117" s="4" t="str">
        <f>IFERROR(__xludf.DUMMYFUNCTION("GOOGLETRANSLATE(B117,""en"",""tr"")"),"Alım Yerini Seçin")</f>
        <v>Alım Yerini Seçin</v>
      </c>
      <c r="G117" s="4" t="str">
        <f>IFERROR(__xludf.DUMMYFUNCTION("GOOGLETRANSLATE(B117,""en"",""ru"")"),"Выбрать Местоположение")</f>
        <v>Выбрать Местоположение</v>
      </c>
      <c r="H117" s="4" t="str">
        <f>IFERROR(__xludf.DUMMYFUNCTION("GOOGLETRANSLATE(B117,""en"",""it"")"),"Scegli Seleziona posizione")</f>
        <v>Scegli Seleziona posizione</v>
      </c>
      <c r="I117" s="4" t="str">
        <f>IFERROR(__xludf.DUMMYFUNCTION("GOOGLETRANSLATE(B117,""en"",""de"")"),"Wählen Sie den Standort aus")</f>
        <v>Wählen Sie den Standort aus</v>
      </c>
      <c r="J117" s="4" t="str">
        <f>IFERROR(__xludf.DUMMYFUNCTION("GOOGLETRANSLATE(B117,""en"",""ko"")"),"위치 선택")</f>
        <v>위치 선택</v>
      </c>
      <c r="K117" s="4" t="str">
        <f>IFERROR(__xludf.DUMMYFUNCTION("GOOGLETRANSLATE(B117,""en"",""zh"")"),"选择取货地点")</f>
        <v>选择取货地点</v>
      </c>
      <c r="L117" s="4" t="str">
        <f>IFERROR(__xludf.DUMMYFUNCTION("GOOGLETRANSLATE(B117,""en"",""es"")"),"Elija Elegir Ubicación")</f>
        <v>Elija Elegir Ubicación</v>
      </c>
      <c r="M117" s="4" t="str">
        <f>IFERROR(__xludf.DUMMYFUNCTION("GOOGLETRANSLATE(B117,""en"",""iw"")"),"בחר בחר מיקום")</f>
        <v>בחר בחר מיקום</v>
      </c>
      <c r="N117" s="4" t="str">
        <f>IFERROR(__xludf.DUMMYFUNCTION("GOOGLETRANSLATE(B117,""en"",""bn"")"),"অবস্থান চয়ন করুন")</f>
        <v>অবস্থান চয়ন করুন</v>
      </c>
      <c r="O117" s="4" t="str">
        <f>IFERROR(__xludf.DUMMYFUNCTION("GOOGLETRANSLATE(B117,""en"",""pt"")"),"Escolha a localização")</f>
        <v>Escolha a localização</v>
      </c>
    </row>
    <row r="118">
      <c r="A118" s="7" t="s">
        <v>345</v>
      </c>
      <c r="B118" s="3" t="s">
        <v>346</v>
      </c>
      <c r="C118" s="4" t="str">
        <f>IFERROR(__xludf.DUMMYFUNCTION("GOOGLETRANSLATE(B118,""en"",""hi"")"),"पसंदीदा पता")</f>
        <v>पसंदीदा पता</v>
      </c>
      <c r="D118" s="6" t="s">
        <v>347</v>
      </c>
      <c r="E118" s="4" t="str">
        <f>IFERROR(__xludf.DUMMYFUNCTION("GOOGLETRANSLATE(B118,""en"",""fr"")"),"Adresse préférée")</f>
        <v>Adresse préférée</v>
      </c>
      <c r="F118" s="4" t="str">
        <f>IFERROR(__xludf.DUMMYFUNCTION("GOOGLETRANSLATE(B118,""en"",""tr"")"),"Favori Adres")</f>
        <v>Favori Adres</v>
      </c>
      <c r="G118" s="4" t="str">
        <f>IFERROR(__xludf.DUMMYFUNCTION("GOOGLETRANSLATE(B118,""en"",""ru"")"),"Любимый адрес")</f>
        <v>Любимый адрес</v>
      </c>
      <c r="H118" s="4" t="str">
        <f>IFERROR(__xludf.DUMMYFUNCTION("GOOGLETRANSLATE(B118,""en"",""it"")"),"Indirizzo preferito")</f>
        <v>Indirizzo preferito</v>
      </c>
      <c r="I118" s="4" t="str">
        <f>IFERROR(__xludf.DUMMYFUNCTION("GOOGLETRANSLATE(B118,""en"",""de"")"),"Lieblingsadresse")</f>
        <v>Lieblingsadresse</v>
      </c>
      <c r="J118" s="4" t="str">
        <f>IFERROR(__xludf.DUMMYFUNCTION("GOOGLETRANSLATE(B118,""en"",""ko"")"),"좋아하는 주소")</f>
        <v>좋아하는 주소</v>
      </c>
      <c r="K118" s="4" t="str">
        <f>IFERROR(__xludf.DUMMYFUNCTION("GOOGLETRANSLATE(B118,""en"",""zh"")"),"最喜欢的地址")</f>
        <v>最喜欢的地址</v>
      </c>
      <c r="L118" s="4" t="str">
        <f>IFERROR(__xludf.DUMMYFUNCTION("GOOGLETRANSLATE(B118,""en"",""es"")"),"Dirección favorita")</f>
        <v>Dirección favorita</v>
      </c>
      <c r="M118" s="4" t="str">
        <f>IFERROR(__xludf.DUMMYFUNCTION("GOOGLETRANSLATE(B118,""en"",""iw"")"),"כתובת מועדפת")</f>
        <v>כתובת מועדפת</v>
      </c>
      <c r="N118" s="4" t="str">
        <f>IFERROR(__xludf.DUMMYFUNCTION("GOOGLETRANSLATE(B118,""en"",""bn"")"),"প্রিয় ঠিকানা")</f>
        <v>প্রিয় ঠিকানা</v>
      </c>
      <c r="O118" s="4" t="str">
        <f>IFERROR(__xludf.DUMMYFUNCTION("GOOGLETRANSLATE(B118,""en"",""pt"")"),"Endereço favorito")</f>
        <v>Endereço favorito</v>
      </c>
    </row>
    <row r="119">
      <c r="A119" s="7" t="s">
        <v>348</v>
      </c>
      <c r="B119" s="3" t="s">
        <v>349</v>
      </c>
      <c r="C119" s="4" t="str">
        <f>IFERROR(__xludf.DUMMYFUNCTION("GOOGLETRANSLATE(B119,""en"",""hi"")"),"पिकअप सुझाव")</f>
        <v>पिकअप सुझाव</v>
      </c>
      <c r="D119" s="6" t="s">
        <v>350</v>
      </c>
      <c r="E119" s="4" t="str">
        <f>IFERROR(__xludf.DUMMYFUNCTION("GOOGLETRANSLATE(B119,""en"",""fr"")"),"Suggestion de ramassage")</f>
        <v>Suggestion de ramassage</v>
      </c>
      <c r="F119" s="4" t="str">
        <f>IFERROR(__xludf.DUMMYFUNCTION("GOOGLETRANSLATE(B119,""en"",""tr"")"),"Alım Önerisi")</f>
        <v>Alım Önerisi</v>
      </c>
      <c r="G119" s="4" t="str">
        <f>IFERROR(__xludf.DUMMYFUNCTION("GOOGLETRANSLATE(B119,""en"",""ru"")"),"Предложение по самовывозу")</f>
        <v>Предложение по самовывозу</v>
      </c>
      <c r="H119" s="4" t="str">
        <f>IFERROR(__xludf.DUMMYFUNCTION("GOOGLETRANSLATE(B119,""en"",""it"")"),"Suggerimento per il ritiro")</f>
        <v>Suggerimento per il ritiro</v>
      </c>
      <c r="I119" s="4" t="str">
        <f>IFERROR(__xludf.DUMMYFUNCTION("GOOGLETRANSLATE(B119,""en"",""de"")"),"Abholvorschlag")</f>
        <v>Abholvorschlag</v>
      </c>
      <c r="J119" s="4" t="str">
        <f>IFERROR(__xludf.DUMMYFUNCTION("GOOGLETRANSLATE(B119,""en"",""ko"")"),"픽업 제안")</f>
        <v>픽업 제안</v>
      </c>
      <c r="K119" s="4" t="str">
        <f>IFERROR(__xludf.DUMMYFUNCTION("GOOGLETRANSLATE(B119,""en"",""zh"")"),"取货建议")</f>
        <v>取货建议</v>
      </c>
      <c r="L119" s="4" t="str">
        <f>IFERROR(__xludf.DUMMYFUNCTION("GOOGLETRANSLATE(B119,""en"",""es"")"),"Sugerencia de recogida")</f>
        <v>Sugerencia de recogida</v>
      </c>
      <c r="M119" s="4" t="str">
        <f>IFERROR(__xludf.DUMMYFUNCTION("GOOGLETRANSLATE(B119,""en"",""iw"")"),"הצעת איסוף")</f>
        <v>הצעת איסוף</v>
      </c>
      <c r="N119" s="4" t="str">
        <f>IFERROR(__xludf.DUMMYFUNCTION("GOOGLETRANSLATE(B119,""en"",""bn"")"),"পিকআপ সাজেশন")</f>
        <v>পিকআপ সাজেশন</v>
      </c>
      <c r="O119" s="4" t="str">
        <f>IFERROR(__xludf.DUMMYFUNCTION("GOOGLETRANSLATE(B119,""en"",""pt"")"),"Sugestão de retirada")</f>
        <v>Sugestão de retirada</v>
      </c>
    </row>
    <row r="120">
      <c r="A120" s="7" t="s">
        <v>351</v>
      </c>
      <c r="B120" s="3" t="s">
        <v>352</v>
      </c>
      <c r="C120" s="4" t="str">
        <f>IFERROR(__xludf.DUMMYFUNCTION("GOOGLETRANSLATE(B120,""en"",""hi"")"),"सुझाव छोड़ें")</f>
        <v>सुझाव छोड़ें</v>
      </c>
      <c r="D120" s="6" t="s">
        <v>353</v>
      </c>
      <c r="E120" s="4" t="str">
        <f>IFERROR(__xludf.DUMMYFUNCTION("GOOGLETRANSLATE(B120,""en"",""fr"")"),"Suggestion de dépôt")</f>
        <v>Suggestion de dépôt</v>
      </c>
      <c r="F120" s="4" t="str">
        <f>IFERROR(__xludf.DUMMYFUNCTION("GOOGLETRANSLATE(B120,""en"",""tr"")"),"Bırakma Önerisi")</f>
        <v>Bırakma Önerisi</v>
      </c>
      <c r="G120" s="4" t="str">
        <f>IFERROR(__xludf.DUMMYFUNCTION("GOOGLETRANSLATE(B120,""en"",""ru"")"),"Предложение о сбросе")</f>
        <v>Предложение о сбросе</v>
      </c>
      <c r="H120" s="4" t="str">
        <f>IFERROR(__xludf.DUMMYFUNCTION("GOOGLETRANSLATE(B120,""en"",""it"")"),"Suggerimento di eliminazione")</f>
        <v>Suggerimento di eliminazione</v>
      </c>
      <c r="I120" s="4" t="str">
        <f>IFERROR(__xludf.DUMMYFUNCTION("GOOGLETRANSLATE(B120,""en"",""de"")"),"Drop-Vorschlag")</f>
        <v>Drop-Vorschlag</v>
      </c>
      <c r="J120" s="4" t="str">
        <f>IFERROR(__xludf.DUMMYFUNCTION("GOOGLETRANSLATE(B120,""en"",""ko"")"),"제안 삭제")</f>
        <v>제안 삭제</v>
      </c>
      <c r="K120" s="4" t="str">
        <f>IFERROR(__xludf.DUMMYFUNCTION("GOOGLETRANSLATE(B120,""en"",""zh"")"),"删除建议")</f>
        <v>删除建议</v>
      </c>
      <c r="L120" s="4" t="str">
        <f>IFERROR(__xludf.DUMMYFUNCTION("GOOGLETRANSLATE(B120,""en"",""es"")"),"Sugerencia de soltar")</f>
        <v>Sugerencia de soltar</v>
      </c>
      <c r="M120" s="4" t="str">
        <f>IFERROR(__xludf.DUMMYFUNCTION("GOOGLETRANSLATE(B120,""en"",""iw"")"),"שחרר את ההצעה")</f>
        <v>שחרר את ההצעה</v>
      </c>
      <c r="N120" s="4" t="str">
        <f>IFERROR(__xludf.DUMMYFUNCTION("GOOGLETRANSLATE(B120,""en"",""bn"")"),"ড্রপ সাজেশন")</f>
        <v>ড্রপ সাজেশন</v>
      </c>
      <c r="O120" s="4" t="str">
        <f>IFERROR(__xludf.DUMMYFUNCTION("GOOGLETRANSLATE(B120,""en"",""pt"")"),"Sugestão de Drop")</f>
        <v>Sugestão de Drop</v>
      </c>
    </row>
    <row r="121">
      <c r="A121" s="7" t="s">
        <v>354</v>
      </c>
      <c r="B121" s="3" t="s">
        <v>355</v>
      </c>
      <c r="C121" s="4" t="str">
        <f>IFERROR(__xludf.DUMMYFUNCTION("GOOGLETRANSLATE(B121,""en"",""hi"")"),"मानचित्र पर पता लगाएँ")</f>
        <v>मानचित्र पर पता लगाएँ</v>
      </c>
      <c r="D121" s="6" t="s">
        <v>356</v>
      </c>
      <c r="E121" s="4" t="str">
        <f>IFERROR(__xludf.DUMMYFUNCTION("GOOGLETRANSLATE(B121,""en"",""fr"")"),"Localiser sur la carte")</f>
        <v>Localiser sur la carte</v>
      </c>
      <c r="F121" s="4" t="str">
        <f>IFERROR(__xludf.DUMMYFUNCTION("GOOGLETRANSLATE(B121,""en"",""tr"")"),"Haritada Bul")</f>
        <v>Haritada Bul</v>
      </c>
      <c r="G121" s="4" t="str">
        <f>IFERROR(__xludf.DUMMYFUNCTION("GOOGLETRANSLATE(B121,""en"",""ru"")"),"Найти на карте")</f>
        <v>Найти на карте</v>
      </c>
      <c r="H121" s="4" t="str">
        <f>IFERROR(__xludf.DUMMYFUNCTION("GOOGLETRANSLATE(B121,""en"",""it"")"),"Localizza sulla mappa")</f>
        <v>Localizza sulla mappa</v>
      </c>
      <c r="I121" s="4" t="str">
        <f>IFERROR(__xludf.DUMMYFUNCTION("GOOGLETRANSLATE(B121,""en"",""de"")"),"Auf der Karte lokalisieren")</f>
        <v>Auf der Karte lokalisieren</v>
      </c>
      <c r="J121" s="4" t="str">
        <f>IFERROR(__xludf.DUMMYFUNCTION("GOOGLETRANSLATE(B121,""en"",""ko"")"),"지도에서 찾기")</f>
        <v>지도에서 찾기</v>
      </c>
      <c r="K121" s="4" t="str">
        <f>IFERROR(__xludf.DUMMYFUNCTION("GOOGLETRANSLATE(B121,""en"",""zh"")"),"在地图上定位")</f>
        <v>在地图上定位</v>
      </c>
      <c r="L121" s="4" t="str">
        <f>IFERROR(__xludf.DUMMYFUNCTION("GOOGLETRANSLATE(B121,""en"",""es"")"),"Localizar en el mapa")</f>
        <v>Localizar en el mapa</v>
      </c>
      <c r="M121" s="4" t="str">
        <f>IFERROR(__xludf.DUMMYFUNCTION("GOOGLETRANSLATE(B121,""en"",""iw"")"),"אתר על המפה")</f>
        <v>אתר על המפה</v>
      </c>
      <c r="N121" s="4" t="str">
        <f>IFERROR(__xludf.DUMMYFUNCTION("GOOGLETRANSLATE(B121,""en"",""bn"")"),"মানচিত্রে অবস্থান করুন")</f>
        <v>মানচিত্রে অবস্থান করুন</v>
      </c>
      <c r="O121" s="4" t="str">
        <f>IFERROR(__xludf.DUMMYFUNCTION("GOOGLETRANSLATE(B121,""en"",""pt"")"),"Localizar no mapa")</f>
        <v>Localizar no mapa</v>
      </c>
    </row>
    <row r="122">
      <c r="A122" s="7" t="s">
        <v>357</v>
      </c>
      <c r="B122" s="3" t="s">
        <v>358</v>
      </c>
      <c r="C122" s="4" t="str">
        <f>IFERROR(__xludf.DUMMYFUNCTION("GOOGLETRANSLATE(B122,""en"",""hi"")"),"खोज गंतव्य")</f>
        <v>खोज गंतव्य</v>
      </c>
      <c r="D122" s="6" t="s">
        <v>359</v>
      </c>
      <c r="E122" s="4" t="str">
        <f>IFERROR(__xludf.DUMMYFUNCTION("GOOGLETRANSLATE(B122,""en"",""fr"")"),"destination de recherche")</f>
        <v>destination de recherche</v>
      </c>
      <c r="F122" s="4" t="str">
        <f>IFERROR(__xludf.DUMMYFUNCTION("GOOGLETRANSLATE(B122,""en"",""tr"")"),"arama hedefi")</f>
        <v>arama hedefi</v>
      </c>
      <c r="G122" s="4" t="str">
        <f>IFERROR(__xludf.DUMMYFUNCTION("GOOGLETRANSLATE(B122,""en"",""ru"")"),"поиск назначения")</f>
        <v>поиск назначения</v>
      </c>
      <c r="H122" s="4" t="str">
        <f>IFERROR(__xludf.DUMMYFUNCTION("GOOGLETRANSLATE(B122,""en"",""it"")"),"cerca destinazione")</f>
        <v>cerca destinazione</v>
      </c>
      <c r="I122" s="4" t="str">
        <f>IFERROR(__xludf.DUMMYFUNCTION("GOOGLETRANSLATE(B122,""en"",""de"")"),"Suchziel")</f>
        <v>Suchziel</v>
      </c>
      <c r="J122" s="4" t="str">
        <f>IFERROR(__xludf.DUMMYFUNCTION("GOOGLETRANSLATE(B122,""en"",""ko"")"),"검색 대상")</f>
        <v>검색 대상</v>
      </c>
      <c r="K122" s="4" t="str">
        <f>IFERROR(__xludf.DUMMYFUNCTION("GOOGLETRANSLATE(B122,""en"",""zh"")"),"搜索目的地")</f>
        <v>搜索目的地</v>
      </c>
      <c r="L122" s="4" t="str">
        <f>IFERROR(__xludf.DUMMYFUNCTION("GOOGLETRANSLATE(B122,""en"",""es"")"),"destino de búsqueda")</f>
        <v>destino de búsqueda</v>
      </c>
      <c r="M122" s="4" t="str">
        <f>IFERROR(__xludf.DUMMYFUNCTION("GOOGLETRANSLATE(B122,""en"",""iw"")"),"יעד חיפוש")</f>
        <v>יעד חיפוש</v>
      </c>
      <c r="N122" s="4" t="str">
        <f>IFERROR(__xludf.DUMMYFUNCTION("GOOGLETRANSLATE(B122,""en"",""bn"")"),"গন্তব্য অনুসন্ধান করুন")</f>
        <v>গন্তব্য অনুসন্ধান করুন</v>
      </c>
      <c r="O122" s="4" t="str">
        <f>IFERROR(__xludf.DUMMYFUNCTION("GOOGLETRANSLATE(B122,""en"",""pt"")"),"destino da pesquisa")</f>
        <v>destino da pesquisa</v>
      </c>
    </row>
    <row r="123">
      <c r="A123" s="7" t="s">
        <v>360</v>
      </c>
      <c r="B123" s="3" t="s">
        <v>361</v>
      </c>
      <c r="C123" s="4" t="str">
        <f>IFERROR(__xludf.DUMMYFUNCTION("GOOGLETRANSLATE(B123,""en"",""hi"")"),"सुझाई गई सवारी")</f>
        <v>सुझाई गई सवारी</v>
      </c>
      <c r="D123" s="6" t="s">
        <v>362</v>
      </c>
      <c r="E123" s="4" t="str">
        <f>IFERROR(__xludf.DUMMYFUNCTION("GOOGLETRANSLATE(B123,""en"",""fr"")"),"Promenades suggérées")</f>
        <v>Promenades suggérées</v>
      </c>
      <c r="F123" s="4" t="str">
        <f>IFERROR(__xludf.DUMMYFUNCTION("GOOGLETRANSLATE(B123,""en"",""tr"")"),"Önerilen Sürüşler")</f>
        <v>Önerilen Sürüşler</v>
      </c>
      <c r="G123" s="4" t="str">
        <f>IFERROR(__xludf.DUMMYFUNCTION("GOOGLETRANSLATE(B123,""en"",""ru"")"),"Рекомендуемые поездки")</f>
        <v>Рекомендуемые поездки</v>
      </c>
      <c r="H123" s="4" t="str">
        <f>IFERROR(__xludf.DUMMYFUNCTION("GOOGLETRANSLATE(B123,""en"",""it"")"),"Percorsi consigliati")</f>
        <v>Percorsi consigliati</v>
      </c>
      <c r="I123" s="4" t="str">
        <f>IFERROR(__xludf.DUMMYFUNCTION("GOOGLETRANSLATE(B123,""en"",""de"")"),"Empfohlene Fahrten")</f>
        <v>Empfohlene Fahrten</v>
      </c>
      <c r="J123" s="4" t="str">
        <f>IFERROR(__xludf.DUMMYFUNCTION("GOOGLETRANSLATE(B123,""en"",""ko"")"),"추천 승차")</f>
        <v>추천 승차</v>
      </c>
      <c r="K123" s="4" t="str">
        <f>IFERROR(__xludf.DUMMYFUNCTION("GOOGLETRANSLATE(B123,""en"",""zh"")"),"推荐行程")</f>
        <v>推荐行程</v>
      </c>
      <c r="L123" s="4" t="str">
        <f>IFERROR(__xludf.DUMMYFUNCTION("GOOGLETRANSLATE(B123,""en"",""es"")"),"Paseos sugeridos")</f>
        <v>Paseos sugeridos</v>
      </c>
      <c r="M123" s="4" t="str">
        <f>IFERROR(__xludf.DUMMYFUNCTION("GOOGLETRANSLATE(B123,""en"",""iw"")"),"טיולים מוצעים")</f>
        <v>טיולים מוצעים</v>
      </c>
      <c r="N123" s="4" t="str">
        <f>IFERROR(__xludf.DUMMYFUNCTION("GOOGLETRANSLATE(B123,""en"",""bn"")"),"সাজেস্টেড রাইড")</f>
        <v>সাজেস্টেড রাইড</v>
      </c>
      <c r="O123" s="4" t="str">
        <f>IFERROR(__xludf.DUMMYFUNCTION("GOOGLETRANSLATE(B123,""en"",""pt"")"),"Passeios sugeridos")</f>
        <v>Passeios sugeridos</v>
      </c>
    </row>
    <row r="124">
      <c r="A124" s="7" t="s">
        <v>363</v>
      </c>
      <c r="B124" s="9" t="s">
        <v>364</v>
      </c>
      <c r="C124" s="4" t="str">
        <f>IFERROR(__xludf.DUMMYFUNCTION("GOOGLETRANSLATE(B124,""en"",""hi"")"),"भुगतान विधि")</f>
        <v>भुगतान विधि</v>
      </c>
      <c r="D124" s="6" t="s">
        <v>365</v>
      </c>
      <c r="E124" s="4" t="str">
        <f>IFERROR(__xludf.DUMMYFUNCTION("GOOGLETRANSLATE(B124,""en"",""fr"")"),"Mode de paiement")</f>
        <v>Mode de paiement</v>
      </c>
      <c r="F124" s="4" t="str">
        <f>IFERROR(__xludf.DUMMYFUNCTION("GOOGLETRANSLATE(B124,""en"",""tr"")"),"Ödeme yöntemi")</f>
        <v>Ödeme yöntemi</v>
      </c>
      <c r="G124" s="4" t="str">
        <f>IFERROR(__xludf.DUMMYFUNCTION("GOOGLETRANSLATE(B124,""en"",""ru"")"),"Способ оплаты")</f>
        <v>Способ оплаты</v>
      </c>
      <c r="H124" s="4" t="str">
        <f>IFERROR(__xludf.DUMMYFUNCTION("GOOGLETRANSLATE(B124,""en"",""it"")"),"Metodo di pagamento")</f>
        <v>Metodo di pagamento</v>
      </c>
      <c r="I124" s="4" t="str">
        <f>IFERROR(__xludf.DUMMYFUNCTION("GOOGLETRANSLATE(B124,""en"",""de"")"),"Zahlungsmethode")</f>
        <v>Zahlungsmethode</v>
      </c>
      <c r="J124" s="4" t="str">
        <f>IFERROR(__xludf.DUMMYFUNCTION("GOOGLETRANSLATE(B124,""en"",""ko"")"),"결제 방법")</f>
        <v>결제 방법</v>
      </c>
      <c r="K124" s="4" t="str">
        <f>IFERROR(__xludf.DUMMYFUNCTION("GOOGLETRANSLATE(B124,""en"",""zh"")"),"付款方式")</f>
        <v>付款方式</v>
      </c>
      <c r="L124" s="4" t="str">
        <f>IFERROR(__xludf.DUMMYFUNCTION("GOOGLETRANSLATE(B124,""en"",""es"")"),"Método de pago")</f>
        <v>Método de pago</v>
      </c>
      <c r="M124" s="4" t="str">
        <f>IFERROR(__xludf.DUMMYFUNCTION("GOOGLETRANSLATE(B124,""en"",""iw"")"),"שיטת תשלום")</f>
        <v>שיטת תשלום</v>
      </c>
      <c r="N124" s="4" t="str">
        <f>IFERROR(__xludf.DUMMYFUNCTION("GOOGLETRANSLATE(B124,""en"",""bn"")"),"পেমেন্ট পদ্ধতি")</f>
        <v>পেমেন্ট পদ্ধতি</v>
      </c>
      <c r="O124" s="4" t="str">
        <f>IFERROR(__xludf.DUMMYFUNCTION("GOOGLETRANSLATE(B124,""en"",""pt"")"),"Método de pagamento")</f>
        <v>Método de pagamento</v>
      </c>
    </row>
    <row r="125">
      <c r="A125" s="7" t="s">
        <v>366</v>
      </c>
      <c r="B125" s="3" t="s">
        <v>367</v>
      </c>
      <c r="C125" s="4" t="str">
        <f>IFERROR(__xludf.DUMMYFUNCTION("GOOGLETRANSLATE(B125,""en"",""hi"")"),"अपना भुगतान अभी या बाद में चुनें")</f>
        <v>अपना भुगतान अभी या बाद में चुनें</v>
      </c>
      <c r="D125" s="6" t="s">
        <v>368</v>
      </c>
      <c r="E125" s="4" t="str">
        <f>IFERROR(__xludf.DUMMYFUNCTION("GOOGLETRANSLATE(B125,""en"",""fr"")"),"Choisissez votre paiement maintenant ou plus tard")</f>
        <v>Choisissez votre paiement maintenant ou plus tard</v>
      </c>
      <c r="F125" s="4" t="str">
        <f>IFERROR(__xludf.DUMMYFUNCTION("GOOGLETRANSLATE(B125,""en"",""tr"")"),"Ödemenizi şimdi veya daha sonra seçin")</f>
        <v>Ödemenizi şimdi veya daha sonra seçin</v>
      </c>
      <c r="G125" s="4" t="str">
        <f>IFERROR(__xludf.DUMMYFUNCTION("GOOGLETRANSLATE(B125,""en"",""ru"")"),"Выберите способ оплаты: сейчас или позже")</f>
        <v>Выберите способ оплаты: сейчас или позже</v>
      </c>
      <c r="H125" s="4" t="str">
        <f>IFERROR(__xludf.DUMMYFUNCTION("GOOGLETRANSLATE(B125,""en"",""it"")"),"Scegli il tuo pagamento ora o più tardi")</f>
        <v>Scegli il tuo pagamento ora o più tardi</v>
      </c>
      <c r="I125" s="4" t="str">
        <f>IFERROR(__xludf.DUMMYFUNCTION("GOOGLETRANSLATE(B125,""en"",""de"")"),"Wählen Sie Ihre Zahlung jetzt oder später")</f>
        <v>Wählen Sie Ihre Zahlung jetzt oder später</v>
      </c>
      <c r="J125" s="4" t="str">
        <f>IFERROR(__xludf.DUMMYFUNCTION("GOOGLETRANSLATE(B125,""en"",""ko"")"),"지금 또는 나중에 결제를 선택하세요")</f>
        <v>지금 또는 나중에 결제를 선택하세요</v>
      </c>
      <c r="K125" s="4" t="str">
        <f>IFERROR(__xludf.DUMMYFUNCTION("GOOGLETRANSLATE(B125,""en"",""zh"")"),"选择立即付款或稍后付款")</f>
        <v>选择立即付款或稍后付款</v>
      </c>
      <c r="L125" s="4" t="str">
        <f>IFERROR(__xludf.DUMMYFUNCTION("GOOGLETRANSLATE(B125,""en"",""es"")"),"Elige tu pago ahora o más tarde")</f>
        <v>Elige tu pago ahora o más tarde</v>
      </c>
      <c r="M125" s="4" t="str">
        <f>IFERROR(__xludf.DUMMYFUNCTION("GOOGLETRANSLATE(B125,""en"",""iw"")"),"בחר את התשלום שלך עכשיו או מאוחר יותר")</f>
        <v>בחר את התשלום שלך עכשיו או מאוחר יותר</v>
      </c>
      <c r="N125" s="4" t="str">
        <f>IFERROR(__xludf.DUMMYFUNCTION("GOOGLETRANSLATE(B125,""en"",""bn"")"),"এখন বা পরে আপনার পেমেন্ট চয়ন করুন")</f>
        <v>এখন বা পরে আপনার পেমেন্ট চয়ন করুন</v>
      </c>
      <c r="O125" s="4" t="str">
        <f>IFERROR(__xludf.DUMMYFUNCTION("GOOGLETRANSLATE(B125,""en"",""pt"")"),"Escolha seu pagamento agora ou mais tarde")</f>
        <v>Escolha seu pagamento agora ou mais tarde</v>
      </c>
    </row>
    <row r="126">
      <c r="A126" s="7" t="s">
        <v>369</v>
      </c>
      <c r="B126" s="3" t="s">
        <v>370</v>
      </c>
      <c r="C126" s="4" t="str">
        <f>IFERROR(__xludf.DUMMYFUNCTION("GOOGLETRANSLATE(B126,""en"",""hi"")"),"यात्रा समाप्त होने पर भुगतान करें")</f>
        <v>यात्रा समाप्त होने पर भुगतान करें</v>
      </c>
      <c r="D126" s="6" t="s">
        <v>371</v>
      </c>
      <c r="E126" s="4" t="str">
        <f>IFERROR(__xludf.DUMMYFUNCTION("GOOGLETRANSLATE(B126,""en"",""fr"")"),"Payer à la fin du voyage")</f>
        <v>Payer à la fin du voyage</v>
      </c>
      <c r="F126" s="4" t="str">
        <f>IFERROR(__xludf.DUMMYFUNCTION("GOOGLETRANSLATE(B126,""en"",""tr"")"),"Seyahatiniz bittiğinde ödeme yapın")</f>
        <v>Seyahatiniz bittiğinde ödeme yapın</v>
      </c>
      <c r="G126" s="4" t="str">
        <f>IFERROR(__xludf.DUMMYFUNCTION("GOOGLETRANSLATE(B126,""en"",""ru"")"),"Оплата по окончании поездки")</f>
        <v>Оплата по окончании поездки</v>
      </c>
      <c r="H126" s="4" t="str">
        <f>IFERROR(__xludf.DUMMYFUNCTION("GOOGLETRANSLATE(B126,""en"",""it"")"),"Paga alla fine del viaggio")</f>
        <v>Paga alla fine del viaggio</v>
      </c>
      <c r="I126" s="4" t="str">
        <f>IFERROR(__xludf.DUMMYFUNCTION("GOOGLETRANSLATE(B126,""en"",""de"")"),"Bezahlen Sie am Ende der Reise")</f>
        <v>Bezahlen Sie am Ende der Reise</v>
      </c>
      <c r="J126" s="4" t="str">
        <f>IFERROR(__xludf.DUMMYFUNCTION("GOOGLETRANSLATE(B126,""en"",""ko"")"),"여행 종료 시 결제")</f>
        <v>여행 종료 시 결제</v>
      </c>
      <c r="K126" s="4" t="str">
        <f>IFERROR(__xludf.DUMMYFUNCTION("GOOGLETRANSLATE(B126,""en"",""zh"")"),"行程结束时付款")</f>
        <v>行程结束时付款</v>
      </c>
      <c r="L126" s="4" t="str">
        <f>IFERROR(__xludf.DUMMYFUNCTION("GOOGLETRANSLATE(B126,""en"",""es"")"),"Pagar al finalizar el viaje")</f>
        <v>Pagar al finalizar el viaje</v>
      </c>
      <c r="M126" s="4" t="str">
        <f>IFERROR(__xludf.DUMMYFUNCTION("GOOGLETRANSLATE(B126,""en"",""iw"")"),"שלם כאשר הטיול מסתיים")</f>
        <v>שלם כאשר הטיול מסתיים</v>
      </c>
      <c r="N126" s="4" t="str">
        <f>IFERROR(__xludf.DUMMYFUNCTION("GOOGLETRANSLATE(B126,""en"",""bn"")"),"ট্রিপ শেষ হলে অর্থ প্রদান করুন")</f>
        <v>ট্রিপ শেষ হলে অর্থ প্রদান করুন</v>
      </c>
      <c r="O126" s="4" t="str">
        <f>IFERROR(__xludf.DUMMYFUNCTION("GOOGLETRANSLATE(B126,""en"",""pt"")"),"Pague quando a viagem terminar")</f>
        <v>Pague quando a viagem terminar</v>
      </c>
    </row>
    <row r="127">
      <c r="A127" s="7" t="s">
        <v>372</v>
      </c>
      <c r="B127" s="3" t="s">
        <v>373</v>
      </c>
      <c r="C127" s="4" t="str">
        <f>IFERROR(__xludf.DUMMYFUNCTION("GOOGLETRANSLATE(B127,""en"",""hi"")"),"निर्बाध और संपर्क रहित भुगतान के लिए")</f>
        <v>निर्बाध और संपर्क रहित भुगतान के लिए</v>
      </c>
      <c r="D127" s="6" t="s">
        <v>374</v>
      </c>
      <c r="E127" s="4" t="str">
        <f>IFERROR(__xludf.DUMMYFUNCTION("GOOGLETRANSLATE(B127,""en"",""fr"")"),"Pour un paiement fluide et sans contact")</f>
        <v>Pour un paiement fluide et sans contact</v>
      </c>
      <c r="F127" s="4" t="str">
        <f>IFERROR(__xludf.DUMMYFUNCTION("GOOGLETRANSLATE(B127,""en"",""tr"")"),"Sorunsuz ve temassız ödeme için")</f>
        <v>Sorunsuz ve temassız ödeme için</v>
      </c>
      <c r="G127" s="4" t="str">
        <f>IFERROR(__xludf.DUMMYFUNCTION("GOOGLETRANSLATE(B127,""en"",""ru"")"),"Для бесшовной и бесконтактной оплаты")</f>
        <v>Для бесшовной и бесконтактной оплаты</v>
      </c>
      <c r="H127" s="4" t="str">
        <f>IFERROR(__xludf.DUMMYFUNCTION("GOOGLETRANSLATE(B127,""en"",""it"")"),"Per pagamenti senza interruzioni e senza contatto")</f>
        <v>Per pagamenti senza interruzioni e senza contatto</v>
      </c>
      <c r="I127" s="4" t="str">
        <f>IFERROR(__xludf.DUMMYFUNCTION("GOOGLETRANSLATE(B127,""en"",""de"")"),"Für nahtloses und kontaktloses Bezahlen")</f>
        <v>Für nahtloses und kontaktloses Bezahlen</v>
      </c>
      <c r="J127" s="4" t="str">
        <f>IFERROR(__xludf.DUMMYFUNCTION("GOOGLETRANSLATE(B127,""en"",""ko"")"),"원활하고 비접촉 결제를 위해")</f>
        <v>원활하고 비접촉 결제를 위해</v>
      </c>
      <c r="K127" s="4" t="str">
        <f>IFERROR(__xludf.DUMMYFUNCTION("GOOGLETRANSLATE(B127,""en"",""zh"")"),"实现无缝、非接触式支付")</f>
        <v>实现无缝、非接触式支付</v>
      </c>
      <c r="L127" s="4" t="str">
        <f>IFERROR(__xludf.DUMMYFUNCTION("GOOGLETRANSLATE(B127,""en"",""es"")"),"Para un pago fluido y sin contacto")</f>
        <v>Para un pago fluido y sin contacto</v>
      </c>
      <c r="M127" s="4" t="str">
        <f>IFERROR(__xludf.DUMMYFUNCTION("GOOGLETRANSLATE(B127,""en"",""iw"")"),"עבור חלק ויצירת קשר פחות תשלום")</f>
        <v>עבור חלק ויצירת קשר פחות תשלום</v>
      </c>
      <c r="N127" s="4" t="str">
        <f>IFERROR(__xludf.DUMMYFUNCTION("GOOGLETRANSLATE(B127,""en"",""bn"")"),"নির্বিঘ্ন এবং কম অর্থপ্রদানের জন্য যোগাযোগ করুন")</f>
        <v>নির্বিঘ্ন এবং কম অর্থপ্রদানের জন্য যোগাযোগ করুন</v>
      </c>
      <c r="O127" s="4" t="str">
        <f>IFERROR(__xludf.DUMMYFUNCTION("GOOGLETRANSLATE(B127,""en"",""pt"")"),"Para pagamentos sem contato e sem complicações")</f>
        <v>Para pagamentos sem contato e sem complicações</v>
      </c>
    </row>
    <row r="128">
      <c r="A128" s="7" t="s">
        <v>375</v>
      </c>
      <c r="B128" s="3" t="s">
        <v>376</v>
      </c>
      <c r="C128" s="4" t="str">
        <f>IFERROR(__xludf.DUMMYFUNCTION("GOOGLETRANSLATE(B128,""en"",""hi"")"),"तेज़ भुगतान के लिए")</f>
        <v>तेज़ भुगतान के लिए</v>
      </c>
      <c r="D128" s="6" t="s">
        <v>377</v>
      </c>
      <c r="E128" s="4" t="str">
        <f>IFERROR(__xludf.DUMMYFUNCTION("GOOGLETRANSLATE(B128,""en"",""fr"")"),"Pour un paiement plus rapide")</f>
        <v>Pour un paiement plus rapide</v>
      </c>
      <c r="F128" s="4" t="str">
        <f>IFERROR(__xludf.DUMMYFUNCTION("GOOGLETRANSLATE(B128,""en"",""tr"")"),"Daha hızlı ödeme için")</f>
        <v>Daha hızlı ödeme için</v>
      </c>
      <c r="G128" s="4" t="str">
        <f>IFERROR(__xludf.DUMMYFUNCTION("GOOGLETRANSLATE(B128,""en"",""ru"")"),"Для более быстрой оплаты")</f>
        <v>Для более быстрой оплаты</v>
      </c>
      <c r="H128" s="4" t="str">
        <f>IFERROR(__xludf.DUMMYFUNCTION("GOOGLETRANSLATE(B128,""en"",""it"")"),"Per un pagamento più rapido")</f>
        <v>Per un pagamento più rapido</v>
      </c>
      <c r="I128" s="4" t="str">
        <f>IFERROR(__xludf.DUMMYFUNCTION("GOOGLETRANSLATE(B128,""en"",""de"")"),"Für eine schnellere Zahlung")</f>
        <v>Für eine schnellere Zahlung</v>
      </c>
      <c r="J128" s="4" t="str">
        <f>IFERROR(__xludf.DUMMYFUNCTION("GOOGLETRANSLATE(B128,""en"",""ko"")"),"더 빠른 결제를 위해")</f>
        <v>더 빠른 결제를 위해</v>
      </c>
      <c r="K128" s="4" t="str">
        <f>IFERROR(__xludf.DUMMYFUNCTION("GOOGLETRANSLATE(B128,""en"",""zh"")"),"为了更快付款")</f>
        <v>为了更快付款</v>
      </c>
      <c r="L128" s="4" t="str">
        <f>IFERROR(__xludf.DUMMYFUNCTION("GOOGLETRANSLATE(B128,""en"",""es"")"),"Para un pago más rápido")</f>
        <v>Para un pago más rápido</v>
      </c>
      <c r="M128" s="4" t="str">
        <f>IFERROR(__xludf.DUMMYFUNCTION("GOOGLETRANSLATE(B128,""en"",""iw"")"),"לתשלום מהיר יותר")</f>
        <v>לתשלום מהיר יותר</v>
      </c>
      <c r="N128" s="4" t="str">
        <f>IFERROR(__xludf.DUMMYFUNCTION("GOOGLETRANSLATE(B128,""en"",""bn"")"),"দ্রুত পেমেন্টের জন্য")</f>
        <v>দ্রুত পেমেন্টের জন্য</v>
      </c>
      <c r="O128" s="4" t="str">
        <f>IFERROR(__xludf.DUMMYFUNCTION("GOOGLETRANSLATE(B128,""en"",""pt"")"),"Para pagamento mais rápido")</f>
        <v>Para pagamento mais rápido</v>
      </c>
    </row>
    <row r="129">
      <c r="A129" s="7" t="s">
        <v>378</v>
      </c>
      <c r="B129" s="3" t="s">
        <v>379</v>
      </c>
      <c r="C129" s="4" t="str">
        <f>IFERROR(__xludf.DUMMYFUNCTION("GOOGLETRANSLATE(B129,""en"",""hi"")"),"तत्काल भुगतान के लिए")</f>
        <v>तत्काल भुगतान के लिए</v>
      </c>
      <c r="D129" s="6" t="s">
        <v>380</v>
      </c>
      <c r="E129" s="4" t="str">
        <f>IFERROR(__xludf.DUMMYFUNCTION("GOOGLETRANSLATE(B129,""en"",""fr"")"),"Pour un paiement instantané")</f>
        <v>Pour un paiement instantané</v>
      </c>
      <c r="F129" s="4" t="str">
        <f>IFERROR(__xludf.DUMMYFUNCTION("GOOGLETRANSLATE(B129,""en"",""tr"")"),"Anında ödeme için")</f>
        <v>Anında ödeme için</v>
      </c>
      <c r="G129" s="4" t="str">
        <f>IFERROR(__xludf.DUMMYFUNCTION("GOOGLETRANSLATE(B129,""en"",""ru"")"),"Для мгновенной оплаты")</f>
        <v>Для мгновенной оплаты</v>
      </c>
      <c r="H129" s="4" t="str">
        <f>IFERROR(__xludf.DUMMYFUNCTION("GOOGLETRANSLATE(B129,""en"",""it"")"),"Per il pagamento immediato")</f>
        <v>Per il pagamento immediato</v>
      </c>
      <c r="I129" s="4" t="str">
        <f>IFERROR(__xludf.DUMMYFUNCTION("GOOGLETRANSLATE(B129,""en"",""de"")"),"Für sofortige Zahlung")</f>
        <v>Für sofortige Zahlung</v>
      </c>
      <c r="J129" s="4" t="str">
        <f>IFERROR(__xludf.DUMMYFUNCTION("GOOGLETRANSLATE(B129,""en"",""ko"")"),"즉시 결제를 위해")</f>
        <v>즉시 결제를 위해</v>
      </c>
      <c r="K129" s="4" t="str">
        <f>IFERROR(__xludf.DUMMYFUNCTION("GOOGLETRANSLATE(B129,""en"",""zh"")"),"即时付款")</f>
        <v>即时付款</v>
      </c>
      <c r="L129" s="4" t="str">
        <f>IFERROR(__xludf.DUMMYFUNCTION("GOOGLETRANSLATE(B129,""en"",""es"")"),"Para pago instantáneo")</f>
        <v>Para pago instantáneo</v>
      </c>
      <c r="M129" s="4" t="str">
        <f>IFERROR(__xludf.DUMMYFUNCTION("GOOGLETRANSLATE(B129,""en"",""iw"")"),"לתשלום מיידי")</f>
        <v>לתשלום מיידי</v>
      </c>
      <c r="N129" s="4" t="str">
        <f>IFERROR(__xludf.DUMMYFUNCTION("GOOGLETRANSLATE(B129,""en"",""bn"")"),"তাত্ক্ষণিক অর্থ প্রদানের জন্য")</f>
        <v>তাত্ক্ষণিক অর্থ প্রদানের জন্য</v>
      </c>
      <c r="O129" s="4" t="str">
        <f>IFERROR(__xludf.DUMMYFUNCTION("GOOGLETRANSLATE(B129,""en"",""pt"")"),"Para pagamento instantâneo")</f>
        <v>Para pagamento instantâneo</v>
      </c>
    </row>
    <row r="130">
      <c r="A130" s="7" t="s">
        <v>381</v>
      </c>
      <c r="B130" s="3" t="s">
        <v>382</v>
      </c>
      <c r="C130" s="4" t="str">
        <f>IFERROR(__xludf.DUMMYFUNCTION("GOOGLETRANSLATE(B130,""en"",""hi"")"),"के माध्यम से भुगतान")</f>
        <v>के माध्यम से भुगतान</v>
      </c>
      <c r="D130" s="6" t="s">
        <v>383</v>
      </c>
      <c r="E130" s="4" t="str">
        <f>IFERROR(__xludf.DUMMYFUNCTION("GOOGLETRANSLATE(B130,""en"",""fr"")"),"Paiement via")</f>
        <v>Paiement via</v>
      </c>
      <c r="F130" s="4" t="str">
        <f>IFERROR(__xludf.DUMMYFUNCTION("GOOGLETRANSLATE(B130,""en"",""tr"")"),"Ödeme yoluyla")</f>
        <v>Ödeme yoluyla</v>
      </c>
      <c r="G130" s="4" t="str">
        <f>IFERROR(__xludf.DUMMYFUNCTION("GOOGLETRANSLATE(B130,""en"",""ru"")"),"Оплата через")</f>
        <v>Оплата через</v>
      </c>
      <c r="H130" s="4" t="str">
        <f>IFERROR(__xludf.DUMMYFUNCTION("GOOGLETRANSLATE(B130,""en"",""it"")"),"Pagamento tramite")</f>
        <v>Pagamento tramite</v>
      </c>
      <c r="I130" s="4" t="str">
        <f>IFERROR(__xludf.DUMMYFUNCTION("GOOGLETRANSLATE(B130,""en"",""de"")"),"Bezahlen per")</f>
        <v>Bezahlen per</v>
      </c>
      <c r="J130" s="4" t="str">
        <f>IFERROR(__xludf.DUMMYFUNCTION("GOOGLETRANSLATE(B130,""en"",""ko"")"),"결제 방법")</f>
        <v>결제 방법</v>
      </c>
      <c r="K130" s="4" t="str">
        <f>IFERROR(__xludf.DUMMYFUNCTION("GOOGLETRANSLATE(B130,""en"",""zh"")"),"付款方式")</f>
        <v>付款方式</v>
      </c>
      <c r="L130" s="4" t="str">
        <f>IFERROR(__xludf.DUMMYFUNCTION("GOOGLETRANSLATE(B130,""en"",""es"")"),"Pagando a través de")</f>
        <v>Pagando a través de</v>
      </c>
      <c r="M130" s="4" t="str">
        <f>IFERROR(__xludf.DUMMYFUNCTION("GOOGLETRANSLATE(B130,""en"",""iw"")"),"משלמים באמצעות")</f>
        <v>משלמים באמצעות</v>
      </c>
      <c r="N130" s="4" t="str">
        <f>IFERROR(__xludf.DUMMYFUNCTION("GOOGLETRANSLATE(B130,""en"",""bn"")"),"এর মাধ্যমে অর্থ প্রদান")</f>
        <v>এর মাধ্যমে অর্থ প্রদান</v>
      </c>
      <c r="O130" s="4" t="str">
        <f>IFERROR(__xludf.DUMMYFUNCTION("GOOGLETRANSLATE(B130,""en"",""pt"")"),"Pagando via")</f>
        <v>Pagando via</v>
      </c>
    </row>
    <row r="131">
      <c r="A131" s="7" t="s">
        <v>384</v>
      </c>
      <c r="B131" s="3" t="s">
        <v>385</v>
      </c>
      <c r="C131" s="4" t="str">
        <f>IFERROR(__xludf.DUMMYFUNCTION("GOOGLETRANSLATE(B131,""en"",""hi"")"),"प्रचार कि नियमावली दर्ज करो")</f>
        <v>प्रचार कि नियमावली दर्ज करो</v>
      </c>
      <c r="D131" s="6" t="s">
        <v>386</v>
      </c>
      <c r="E131" s="4" t="str">
        <f>IFERROR(__xludf.DUMMYFUNCTION("GOOGLETRANSLATE(B131,""en"",""fr"")"),"Entrez le code promotionnel")</f>
        <v>Entrez le code promotionnel</v>
      </c>
      <c r="F131" s="4" t="str">
        <f>IFERROR(__xludf.DUMMYFUNCTION("GOOGLETRANSLATE(B131,""en"",""tr"")"),"Promosyon Kodunu Girin")</f>
        <v>Promosyon Kodunu Girin</v>
      </c>
      <c r="G131" s="4" t="str">
        <f>IFERROR(__xludf.DUMMYFUNCTION("GOOGLETRANSLATE(B131,""en"",""ru"")"),"Введите промокод")</f>
        <v>Введите промокод</v>
      </c>
      <c r="H131" s="4" t="str">
        <f>IFERROR(__xludf.DUMMYFUNCTION("GOOGLETRANSLATE(B131,""en"",""it"")"),"Inserisci il codice promozionale")</f>
        <v>Inserisci il codice promozionale</v>
      </c>
      <c r="I131" s="4" t="str">
        <f>IFERROR(__xludf.DUMMYFUNCTION("GOOGLETRANSLATE(B131,""en"",""de"")"),"Promo-Code eingeben")</f>
        <v>Promo-Code eingeben</v>
      </c>
      <c r="J131" s="4" t="str">
        <f>IFERROR(__xludf.DUMMYFUNCTION("GOOGLETRANSLATE(B131,""en"",""ko"")"),"프로모션 코드를 입력하세요")</f>
        <v>프로모션 코드를 입력하세요</v>
      </c>
      <c r="K131" s="4" t="str">
        <f>IFERROR(__xludf.DUMMYFUNCTION("GOOGLETRANSLATE(B131,""en"",""zh"")"),"输入优惠码")</f>
        <v>输入优惠码</v>
      </c>
      <c r="L131" s="4" t="str">
        <f>IFERROR(__xludf.DUMMYFUNCTION("GOOGLETRANSLATE(B131,""en"",""es"")"),"Introducir código promocional")</f>
        <v>Introducir código promocional</v>
      </c>
      <c r="M131" s="4" t="str">
        <f>IFERROR(__xludf.DUMMYFUNCTION("GOOGLETRANSLATE(B131,""en"",""iw"")"),"הזן קוד קידום")</f>
        <v>הזן קוד קידום</v>
      </c>
      <c r="N131" s="4" t="str">
        <f>IFERROR(__xludf.DUMMYFUNCTION("GOOGLETRANSLATE(B131,""en"",""bn"")"),"প্রচার কোড লিখুন")</f>
        <v>প্রচার কোড লিখুন</v>
      </c>
      <c r="O131" s="4" t="str">
        <f>IFERROR(__xludf.DUMMYFUNCTION("GOOGLETRANSLATE(B131,""en"",""pt"")"),"Insira o código promocional")</f>
        <v>Insira o código promocional</v>
      </c>
    </row>
    <row r="132">
      <c r="A132" s="7" t="s">
        <v>387</v>
      </c>
      <c r="B132" s="3" t="s">
        <v>388</v>
      </c>
      <c r="C132" s="4" t="str">
        <f>IFERROR(__xludf.DUMMYFUNCTION("GOOGLETRANSLATE(B132,""en"",""hi"")"),"निकालना")</f>
        <v>निकालना</v>
      </c>
      <c r="D132" s="6" t="s">
        <v>389</v>
      </c>
      <c r="E132" s="4" t="str">
        <f>IFERROR(__xludf.DUMMYFUNCTION("GOOGLETRANSLATE(B132,""en"",""fr"")"),"Retirer")</f>
        <v>Retirer</v>
      </c>
      <c r="F132" s="4" t="str">
        <f>IFERROR(__xludf.DUMMYFUNCTION("GOOGLETRANSLATE(B132,""en"",""tr"")"),"Kaldırmak")</f>
        <v>Kaldırmak</v>
      </c>
      <c r="G132" s="4" t="str">
        <f>IFERROR(__xludf.DUMMYFUNCTION("GOOGLETRANSLATE(B132,""en"",""ru"")"),"Удалять")</f>
        <v>Удалять</v>
      </c>
      <c r="H132" s="4" t="str">
        <f>IFERROR(__xludf.DUMMYFUNCTION("GOOGLETRANSLATE(B132,""en"",""it"")"),"Rimuovere")</f>
        <v>Rimuovere</v>
      </c>
      <c r="I132" s="4" t="str">
        <f>IFERROR(__xludf.DUMMYFUNCTION("GOOGLETRANSLATE(B132,""en"",""de"")"),"Entfernen")</f>
        <v>Entfernen</v>
      </c>
      <c r="J132" s="4" t="str">
        <f>IFERROR(__xludf.DUMMYFUNCTION("GOOGLETRANSLATE(B132,""en"",""ko"")"),"제거하다")</f>
        <v>제거하다</v>
      </c>
      <c r="K132" s="4" t="str">
        <f>IFERROR(__xludf.DUMMYFUNCTION("GOOGLETRANSLATE(B132,""en"",""zh"")"),"消除")</f>
        <v>消除</v>
      </c>
      <c r="L132" s="4" t="str">
        <f>IFERROR(__xludf.DUMMYFUNCTION("GOOGLETRANSLATE(B132,""en"",""es"")"),"Eliminar")</f>
        <v>Eliminar</v>
      </c>
      <c r="M132" s="4" t="str">
        <f>IFERROR(__xludf.DUMMYFUNCTION("GOOGLETRANSLATE(B132,""en"",""iw"")"),"לְהַסִיר")</f>
        <v>לְהַסִיר</v>
      </c>
      <c r="N132" s="4" t="str">
        <f>IFERROR(__xludf.DUMMYFUNCTION("GOOGLETRANSLATE(B132,""en"",""bn"")"),"সরান")</f>
        <v>সরান</v>
      </c>
      <c r="O132" s="4" t="str">
        <f>IFERROR(__xludf.DUMMYFUNCTION("GOOGLETRANSLATE(B132,""en"",""pt"")"),"Remover")</f>
        <v>Remover</v>
      </c>
    </row>
    <row r="133">
      <c r="A133" s="7" t="s">
        <v>390</v>
      </c>
      <c r="B133" s="3" t="s">
        <v>391</v>
      </c>
      <c r="C133" s="4" t="str">
        <f>IFERROR(__xludf.DUMMYFUNCTION("GOOGLETRANSLATE(B133,""en"",""hi"")"),"संपादन करना")</f>
        <v>संपादन करना</v>
      </c>
      <c r="D133" s="6" t="s">
        <v>392</v>
      </c>
      <c r="E133" s="4" t="str">
        <f>IFERROR(__xludf.DUMMYFUNCTION("GOOGLETRANSLATE(B133,""en"",""fr"")"),"Modifier")</f>
        <v>Modifier</v>
      </c>
      <c r="F133" s="4" t="str">
        <f>IFERROR(__xludf.DUMMYFUNCTION("GOOGLETRANSLATE(B133,""en"",""tr"")"),"Düzenlemek")</f>
        <v>Düzenlemek</v>
      </c>
      <c r="G133" s="4" t="str">
        <f>IFERROR(__xludf.DUMMYFUNCTION("GOOGLETRANSLATE(B133,""en"",""ru"")"),"Редактировать")</f>
        <v>Редактировать</v>
      </c>
      <c r="H133" s="4" t="str">
        <f>IFERROR(__xludf.DUMMYFUNCTION("GOOGLETRANSLATE(B133,""en"",""it"")"),"Modificare")</f>
        <v>Modificare</v>
      </c>
      <c r="I133" s="4" t="str">
        <f>IFERROR(__xludf.DUMMYFUNCTION("GOOGLETRANSLATE(B133,""en"",""de"")"),"Bearbeiten")</f>
        <v>Bearbeiten</v>
      </c>
      <c r="J133" s="4" t="str">
        <f>IFERROR(__xludf.DUMMYFUNCTION("GOOGLETRANSLATE(B133,""en"",""ko"")"),"편집하다")</f>
        <v>편집하다</v>
      </c>
      <c r="K133" s="4" t="str">
        <f>IFERROR(__xludf.DUMMYFUNCTION("GOOGLETRANSLATE(B133,""en"",""zh"")"),"编辑")</f>
        <v>编辑</v>
      </c>
      <c r="L133" s="4" t="str">
        <f>IFERROR(__xludf.DUMMYFUNCTION("GOOGLETRANSLATE(B133,""en"",""es"")"),"Editar")</f>
        <v>Editar</v>
      </c>
      <c r="M133" s="4" t="str">
        <f>IFERROR(__xludf.DUMMYFUNCTION("GOOGLETRANSLATE(B133,""en"",""iw"")"),"לַעֲרוֹך")</f>
        <v>לַעֲרוֹך</v>
      </c>
      <c r="N133" s="4" t="str">
        <f>IFERROR(__xludf.DUMMYFUNCTION("GOOGLETRANSLATE(B133,""en"",""bn"")"),"সম্পাদনা করুন")</f>
        <v>সম্পাদনা করুন</v>
      </c>
      <c r="O133" s="4" t="str">
        <f>IFERROR(__xludf.DUMMYFUNCTION("GOOGLETRANSLATE(B133,""en"",""pt"")"),"Editar")</f>
        <v>Editar</v>
      </c>
    </row>
    <row r="134">
      <c r="A134" s="7" t="s">
        <v>393</v>
      </c>
      <c r="B134" s="3" t="s">
        <v>394</v>
      </c>
      <c r="C134" s="4" t="str">
        <f>IFERROR(__xludf.DUMMYFUNCTION("GOOGLETRANSLATE(B134,""en"",""hi"")"),"कूपन लागू")</f>
        <v>कूपन लागू</v>
      </c>
      <c r="D134" s="6" t="s">
        <v>395</v>
      </c>
      <c r="E134" s="4" t="str">
        <f>IFERROR(__xludf.DUMMYFUNCTION("GOOGLETRANSLATE(B134,""en"",""fr"")"),"Coupon appliqué")</f>
        <v>Coupon appliqué</v>
      </c>
      <c r="F134" s="4" t="str">
        <f>IFERROR(__xludf.DUMMYFUNCTION("GOOGLETRANSLATE(B134,""en"",""tr"")"),"Kupon Uygulandı")</f>
        <v>Kupon Uygulandı</v>
      </c>
      <c r="G134" s="4" t="str">
        <f>IFERROR(__xludf.DUMMYFUNCTION("GOOGLETRANSLATE(B134,""en"",""ru"")"),"Купон применен")</f>
        <v>Купон применен</v>
      </c>
      <c r="H134" s="4" t="str">
        <f>IFERROR(__xludf.DUMMYFUNCTION("GOOGLETRANSLATE(B134,""en"",""it"")"),"Coupon applicato")</f>
        <v>Coupon applicato</v>
      </c>
      <c r="I134" s="4" t="str">
        <f>IFERROR(__xludf.DUMMYFUNCTION("GOOGLETRANSLATE(B134,""en"",""de"")"),"Coupon angewendet")</f>
        <v>Coupon angewendet</v>
      </c>
      <c r="J134" s="4" t="str">
        <f>IFERROR(__xludf.DUMMYFUNCTION("GOOGLETRANSLATE(B134,""en"",""ko"")"),"쿠폰 적용됨")</f>
        <v>쿠폰 적용됨</v>
      </c>
      <c r="K134" s="4" t="str">
        <f>IFERROR(__xludf.DUMMYFUNCTION("GOOGLETRANSLATE(B134,""en"",""zh"")"),"已使用优惠券")</f>
        <v>已使用优惠券</v>
      </c>
      <c r="L134" s="4" t="str">
        <f>IFERROR(__xludf.DUMMYFUNCTION("GOOGLETRANSLATE(B134,""en"",""es"")"),"Cupón aplicado")</f>
        <v>Cupón aplicado</v>
      </c>
      <c r="M134" s="4" t="str">
        <f>IFERROR(__xludf.DUMMYFUNCTION("GOOGLETRANSLATE(B134,""en"",""iw"")")," הוחל קופון")</f>
        <v> הוחל קופון</v>
      </c>
      <c r="N134" s="4" t="str">
        <f>IFERROR(__xludf.DUMMYFUNCTION("GOOGLETRANSLATE(B134,""en"",""bn"")")," কুপন প্রয়োগ করা হয়েছে")</f>
        <v> কুপন প্রয়োগ করা হয়েছে</v>
      </c>
      <c r="O134" s="4" t="str">
        <f>IFERROR(__xludf.DUMMYFUNCTION("GOOGLETRANSLATE(B134,""en"",""pt"")"),"Cupom aplicado")</f>
        <v>Cupom aplicado</v>
      </c>
    </row>
    <row r="135">
      <c r="A135" s="7" t="s">
        <v>396</v>
      </c>
      <c r="B135" s="3" t="s">
        <v>397</v>
      </c>
      <c r="C135" s="4" t="str">
        <f>IFERROR(__xludf.DUMMYFUNCTION("GOOGLETRANSLATE(B135,""en"",""hi"")"),"अमान्य कूपन कोड")</f>
        <v>अमान्य कूपन कोड</v>
      </c>
      <c r="D135" s="6" t="s">
        <v>398</v>
      </c>
      <c r="E135" s="4" t="str">
        <f>IFERROR(__xludf.DUMMYFUNCTION("GOOGLETRANSLATE(B135,""en"",""fr"")"),"Code promo invalide")</f>
        <v>Code promo invalide</v>
      </c>
      <c r="F135" s="4" t="str">
        <f>IFERROR(__xludf.DUMMYFUNCTION("GOOGLETRANSLATE(B135,""en"",""tr"")"),"Geçersiz Kupon Kodu")</f>
        <v>Geçersiz Kupon Kodu</v>
      </c>
      <c r="G135" s="4" t="str">
        <f>IFERROR(__xludf.DUMMYFUNCTION("GOOGLETRANSLATE(B135,""en"",""ru"")"),"Недействительный код купона")</f>
        <v>Недействительный код купона</v>
      </c>
      <c r="H135" s="4" t="str">
        <f>IFERROR(__xludf.DUMMYFUNCTION("GOOGLETRANSLATE(B135,""en"",""it"")"),"Codice coupon non valido")</f>
        <v>Codice coupon non valido</v>
      </c>
      <c r="I135" s="4" t="str">
        <f>IFERROR(__xludf.DUMMYFUNCTION("GOOGLETRANSLATE(B135,""en"",""de"")"),"Ungültiger Gutscheincode")</f>
        <v>Ungültiger Gutscheincode</v>
      </c>
      <c r="J135" s="4" t="str">
        <f>IFERROR(__xludf.DUMMYFUNCTION("GOOGLETRANSLATE(B135,""en"",""ko"")"),"잘못된 쿠폰 코드")</f>
        <v>잘못된 쿠폰 코드</v>
      </c>
      <c r="K135" s="4" t="str">
        <f>IFERROR(__xludf.DUMMYFUNCTION("GOOGLETRANSLATE(B135,""en"",""zh"")"),"优惠券代码无效")</f>
        <v>优惠券代码无效</v>
      </c>
      <c r="L135" s="4" t="str">
        <f>IFERROR(__xludf.DUMMYFUNCTION("GOOGLETRANSLATE(B135,""en"",""es"")"),"Código de cupón no válido")</f>
        <v>Código de cupón no válido</v>
      </c>
      <c r="M135" s="4" t="str">
        <f>IFERROR(__xludf.DUMMYFUNCTION("GOOGLETRANSLATE(B135,""en"",""iw"")"),"קוד קופון לא חוקי")</f>
        <v>קוד קופון לא חוקי</v>
      </c>
      <c r="N135" s="4" t="str">
        <f>IFERROR(__xludf.DUMMYFUNCTION("GOOGLETRANSLATE(B135,""en"",""bn"")"),"অবৈধ কুপন কোড")</f>
        <v>অবৈধ কুপন কোড</v>
      </c>
      <c r="O135" s="4" t="str">
        <f>IFERROR(__xludf.DUMMYFUNCTION("GOOGLETRANSLATE(B135,""en"",""pt"")"),"Código de cupom inválido")</f>
        <v>Código de cupom inválido</v>
      </c>
    </row>
    <row r="136">
      <c r="A136" s="7" t="s">
        <v>399</v>
      </c>
      <c r="B136" s="3" t="s">
        <v>400</v>
      </c>
      <c r="C136" s="4" t="str">
        <f>IFERROR(__xludf.DUMMYFUNCTION("GOOGLETRANSLATE(B136,""en"",""hi"")"),"आस-पास के ड्राइवरों की तलाश")</f>
        <v>आस-पास के ड्राइवरों की तलाश</v>
      </c>
      <c r="D136" s="6" t="s">
        <v>401</v>
      </c>
      <c r="E136" s="4" t="str">
        <f>IFERROR(__xludf.DUMMYFUNCTION("GOOGLETRANSLATE(B136,""en"",""fr"")"),"À la recherche de conducteurs à proximité")</f>
        <v>À la recherche de conducteurs à proximité</v>
      </c>
      <c r="F136" s="4" t="str">
        <f>IFERROR(__xludf.DUMMYFUNCTION("GOOGLETRANSLATE(B136,""en"",""tr"")"),"Yakındaki sürücüleri arıyorum")</f>
        <v>Yakındaki sürücüleri arıyorum</v>
      </c>
      <c r="G136" s="4" t="str">
        <f>IFERROR(__xludf.DUMMYFUNCTION("GOOGLETRANSLATE(B136,""en"",""ru"")"),"Поиск водителей поблизости")</f>
        <v>Поиск водителей поблизости</v>
      </c>
      <c r="H136" s="4" t="str">
        <f>IFERROR(__xludf.DUMMYFUNCTION("GOOGLETRANSLATE(B136,""en"",""it"")"),"Cerchi autisti nelle vicinanze")</f>
        <v>Cerchi autisti nelle vicinanze</v>
      </c>
      <c r="I136" s="4" t="str">
        <f>IFERROR(__xludf.DUMMYFUNCTION("GOOGLETRANSLATE(B136,""en"",""de"")"),"Suche nach Fahrern in der Nähe")</f>
        <v>Suche nach Fahrern in der Nähe</v>
      </c>
      <c r="J136" s="4" t="str">
        <f>IFERROR(__xludf.DUMMYFUNCTION("GOOGLETRANSLATE(B136,""en"",""ko"")"),"근처 운전자를 찾고 있습니다")</f>
        <v>근처 운전자를 찾고 있습니다</v>
      </c>
      <c r="K136" s="4" t="str">
        <f>IFERROR(__xludf.DUMMYFUNCTION("GOOGLETRANSLATE(B136,""en"",""zh"")"),"寻找附近的司机")</f>
        <v>寻找附近的司机</v>
      </c>
      <c r="L136" s="4" t="str">
        <f>IFERROR(__xludf.DUMMYFUNCTION("GOOGLETRANSLATE(B136,""en"",""es"")"),"Buscando conductores cercanos")</f>
        <v>Buscando conductores cercanos</v>
      </c>
      <c r="M136" s="4" t="str">
        <f>IFERROR(__xludf.DUMMYFUNCTION("GOOGLETRANSLATE(B136,""en"",""iw"")"),"מחפש נהגים קרובים")</f>
        <v>מחפש נהגים קרובים</v>
      </c>
      <c r="N136" s="4" t="str">
        <f>IFERROR(__xludf.DUMMYFUNCTION("GOOGLETRANSLATE(B136,""en"",""bn"")"),"কাছাকাছি ড্রাইভার খুঁজছেন")</f>
        <v>কাছাকাছি ড্রাইভার খুঁজছেন</v>
      </c>
      <c r="O136" s="4" t="str">
        <f>IFERROR(__xludf.DUMMYFUNCTION("GOOGLETRANSLATE(B136,""en"",""pt"")"),"Procurando motoristas próximos")</f>
        <v>Procurando motoristas próximos</v>
      </c>
    </row>
    <row r="137">
      <c r="A137" s="7" t="s">
        <v>402</v>
      </c>
      <c r="B137" s="3" t="s">
        <v>403</v>
      </c>
      <c r="C137" s="4" t="str">
        <f>IFERROR(__xludf.DUMMYFUNCTION("GOOGLETRANSLATE(B137,""en"",""hi"")"),"हम आपकी सवारी स्वीकार करने के लिए आस-पास के ड्राइवर की तलाश कर रहे हैं। स्वीकृति मिलने पर आप हमारे साथ यात्रा कर सकते हैं! हम आपके धैर्य की सराहना करते हैं!")</f>
        <v>हम आपकी सवारी स्वीकार करने के लिए आस-पास के ड्राइवर की तलाश कर रहे हैं। स्वीकृति मिलने पर आप हमारे साथ यात्रा कर सकते हैं! हम आपके धैर्य की सराहना करते हैं!</v>
      </c>
      <c r="D137" s="4" t="str">
        <f>IFERROR(__xludf.DUMMYFUNCTION("GOOGLETRANSLATE(B137,""en"",""ar"")"),"نبحث عن سائق قريب لقبول رحلتك. بعد قبولك، يمكنك الركوب معنا! نشكر صبركم!")</f>
        <v>نبحث عن سائق قريب لقبول رحلتك. بعد قبولك، يمكنك الركوب معنا! نشكر صبركم!</v>
      </c>
      <c r="E137" s="4" t="str">
        <f>IFERROR(__xludf.DUMMYFUNCTION("GOOGLETRANSLATE(B137,""en"",""fr"")"),"Nous recherchons un chauffeur à proximité pour prendre votre course. Une fois accepté, vous pourrez voyager avec nous ! Merci de votre patience !")</f>
        <v>Nous recherchons un chauffeur à proximité pour prendre votre course. Une fois accepté, vous pourrez voyager avec nous ! Merci de votre patience !</v>
      </c>
      <c r="F137" s="4" t="str">
        <f>IFERROR(__xludf.DUMMYFUNCTION("GOOGLETRANSLATE(B137,""en"",""tr"")"),"Yakınınızda Yolculuğunuzu Kabul Edecek Bir Sürücü Arıyoruz. Kabul Edildikten Sonra Bizimle Yolculuk Yapabilirsiniz! Sabrınız İçin Teşekkür Ederiz!")</f>
        <v>Yakınınızda Yolculuğunuzu Kabul Edecek Bir Sürücü Arıyoruz. Kabul Edildikten Sonra Bizimle Yolculuk Yapabilirsiniz! Sabrınız İçin Teşekkür Ederiz!</v>
      </c>
      <c r="G137" s="4" t="str">
        <f>IFERROR(__xludf.DUMMYFUNCTION("GOOGLETRANSLATE(B137,""en"",""ru"")"),"Мы ищем водителя поблизости, который примет вашу поездку. Как только мы вас подтвердим, вы сможете поехать с нами! Мы ценим ваше терпение!")</f>
        <v>Мы ищем водителя поблизости, который примет вашу поездку. Как только мы вас подтвердим, вы сможете поехать с нами! Мы ценим ваше терпение!</v>
      </c>
      <c r="H137" s="4" t="str">
        <f>IFERROR(__xludf.DUMMYFUNCTION("GOOGLETRANSLATE(B137,""en"",""it"")"),"Stiamo cercando un autista nelle vicinanze che accetti il tuo passaggio. Una volta accettato, potrai viaggiare con noi! Apprezziamo la tua pazienza!")</f>
        <v>Stiamo cercando un autista nelle vicinanze che accetti il tuo passaggio. Una volta accettato, potrai viaggiare con noi! Apprezziamo la tua pazienza!</v>
      </c>
      <c r="I137" s="4" t="str">
        <f>IFERROR(__xludf.DUMMYFUNCTION("GOOGLETRANSLATE(B137,""en"",""de"")"),"Wir suchen einen Fahrer in der Nähe, der Sie mitnimmt. Sobald Sie angenommen sind, können Sie mit uns fahren! Wir danken Ihnen für Ihre Geduld!")</f>
        <v>Wir suchen einen Fahrer in der Nähe, der Sie mitnimmt. Sobald Sie angenommen sind, können Sie mit uns fahren! Wir danken Ihnen für Ihre Geduld!</v>
      </c>
      <c r="J137" s="4" t="str">
        <f>IFERROR(__xludf.DUMMYFUNCTION("GOOGLETRANSLATE(B137,""en"",""ko"")"),"근처에서 함께 운전해 주실 운전기사를 찾고 있습니다. 승인되면 저희와 함께 운전하실 수 있습니다! 양해 부탁드립니다!")</f>
        <v>근처에서 함께 운전해 주실 운전기사를 찾고 있습니다. 승인되면 저희와 함께 운전하실 수 있습니다! 양해 부탁드립니다!</v>
      </c>
      <c r="K137" s="4" t="str">
        <f>IFERROR(__xludf.DUMMYFUNCTION("GOOGLETRANSLATE(B137,""en"",""zh"")"),"我们正在寻找附近的司机接您。一旦被接受，您就可以搭乘我们的车！感谢您的耐心等待！")</f>
        <v>我们正在寻找附近的司机接您。一旦被接受，您就可以搭乘我们的车！感谢您的耐心等待！</v>
      </c>
      <c r="L137" s="4" t="str">
        <f>IFERROR(__xludf.DUMMYFUNCTION("GOOGLETRANSLATE(B137,""en"",""es"")"),"Buscamos un conductor cercano que acepte tu viaje. Una vez aceptado, ¡podrás viajar con nosotros! ¡Agradecemos tu paciencia!")</f>
        <v>Buscamos un conductor cercano que acepte tu viaje. Una vez aceptado, ¡podrás viajar con nosotros! ¡Agradecemos tu paciencia!</v>
      </c>
      <c r="M137" s="4" t="str">
        <f>IFERROR(__xludf.DUMMYFUNCTION("GOOGLETRANSLATE(B137,""en"",""iw"")"),"אנו מחפשים נהג קרוב שיסכים לנסיעה שלך. לאחר שהתקבלה אתה יכול לרכוב איתנו! אנו מעריכים את הסבלנות שלך!")</f>
        <v>אנו מחפשים נהג קרוב שיסכים לנסיעה שלך. לאחר שהתקבלה אתה יכול לרכוב איתנו! אנו מעריכים את הסבלנות שלך!</v>
      </c>
      <c r="N137" s="4" t="str">
        <f>IFERROR(__xludf.DUMMYFUNCTION("GOOGLETRANSLATE(B137,""en"",""bn"")"),"আমরা আপনার রাইড গ্রহণ করার জন্য কাছাকাছি ড্রাইভার খুঁজছি। একবার গৃহীত হলে আপনি আমাদের সাথে রাইড করতে পারেন! আমরা আপনার ধৈর্যের প্রশংসা করি!")</f>
        <v>আমরা আপনার রাইড গ্রহণ করার জন্য কাছাকাছি ড্রাইভার খুঁজছি। একবার গৃহীত হলে আপনি আমাদের সাথে রাইড করতে পারেন! আমরা আপনার ধৈর্যের প্রশংসা করি!</v>
      </c>
      <c r="O137" s="4" t="str">
        <f>IFERROR(__xludf.DUMMYFUNCTION("GOOGLETRANSLATE(B137,""en"",""pt"")"),"Estamos procurando um motorista próximo para aceitar sua viagem. Assim que for aceito, você poderá viajar conosco! Agradecemos a sua paciência!")</f>
        <v>Estamos procurando um motorista próximo para aceitar sua viagem. Assim que for aceito, você poderá viajar conosco! Agradecemos a sua paciência!</v>
      </c>
    </row>
    <row r="138">
      <c r="A138" s="7" t="s">
        <v>404</v>
      </c>
      <c r="B138" s="3" t="s">
        <v>405</v>
      </c>
      <c r="C138" s="4" t="str">
        <f>IFERROR(__xludf.DUMMYFUNCTION("GOOGLETRANSLATE(B138,""en"",""hi"")"),"उठाने के लिए कोई निर्देश")</f>
        <v>उठाने के लिए कोई निर्देश</v>
      </c>
      <c r="D138" s="6" t="s">
        <v>406</v>
      </c>
      <c r="E138" s="4" t="str">
        <f>IFERROR(__xludf.DUMMYFUNCTION("GOOGLETRANSLATE(B138,""en"",""fr"")"),"Des instructions pour le ramassage")</f>
        <v>Des instructions pour le ramassage</v>
      </c>
      <c r="F138" s="4" t="str">
        <f>IFERROR(__xludf.DUMMYFUNCTION("GOOGLETRANSLATE(B138,""en"",""tr"")"),"Alım için herhangi bir talimat var mı?")</f>
        <v>Alım için herhangi bir talimat var mı?</v>
      </c>
      <c r="G138" s="4" t="str">
        <f>IFERROR(__xludf.DUMMYFUNCTION("GOOGLETRANSLATE(B138,""en"",""ru"")"),"Есть ли инструкции по получению?")</f>
        <v>Есть ли инструкции по получению?</v>
      </c>
      <c r="H138" s="4" t="str">
        <f>IFERROR(__xludf.DUMMYFUNCTION("GOOGLETRANSLATE(B138,""en"",""it"")"),"Eventuali istruzioni per il ritiro")</f>
        <v>Eventuali istruzioni per il ritiro</v>
      </c>
      <c r="I138" s="4" t="str">
        <f>IFERROR(__xludf.DUMMYFUNCTION("GOOGLETRANSLATE(B138,""en"",""de"")"),"Anweisungen zur Abholung")</f>
        <v>Anweisungen zur Abholung</v>
      </c>
      <c r="J138" s="4" t="str">
        <f>IFERROR(__xludf.DUMMYFUNCTION("GOOGLETRANSLATE(B138,""en"",""ko"")"),"픽업에 대한 지침이 있나요?")</f>
        <v>픽업에 대한 지침이 있나요?</v>
      </c>
      <c r="K138" s="4" t="str">
        <f>IFERROR(__xludf.DUMMYFUNCTION("GOOGLETRANSLATE(B138,""en"",""zh"")"),"任何取货说明")</f>
        <v>任何取货说明</v>
      </c>
      <c r="L138" s="4" t="str">
        <f>IFERROR(__xludf.DUMMYFUNCTION("GOOGLETRANSLATE(B138,""en"",""es"")"),"¿Alguna instrucción para la recogida?")</f>
        <v>¿Alguna instrucción para la recogida?</v>
      </c>
      <c r="M138" s="4" t="str">
        <f>IFERROR(__xludf.DUMMYFUNCTION("GOOGLETRANSLATE(B138,""en"",""iw"")"),"כל הוראות לאיסוף")</f>
        <v>כל הוראות לאיסוף</v>
      </c>
      <c r="N138" s="4" t="str">
        <f>IFERROR(__xludf.DUMMYFUNCTION("GOOGLETRANSLATE(B138,""en"",""bn"")"),"পিক আপ জন্য কোন নির্দেশাবলী")</f>
        <v>পিক আপ জন্য কোন নির্দেশাবলী</v>
      </c>
      <c r="O138" s="4" t="str">
        <f>IFERROR(__xludf.DUMMYFUNCTION("GOOGLETRANSLATE(B138,""en"",""pt"")"),"Alguma instrução para retirada")</f>
        <v>Alguma instrução para retirada</v>
      </c>
    </row>
    <row r="139">
      <c r="A139" s="7" t="s">
        <v>407</v>
      </c>
      <c r="B139" s="3" t="s">
        <v>408</v>
      </c>
      <c r="C139" s="4" t="str">
        <f>IFERROR(__xludf.DUMMYFUNCTION("GOOGLETRANSLATE(B139,""en"",""hi"")"),"सवारी साझा करें")</f>
        <v>सवारी साझा करें</v>
      </c>
      <c r="D139" s="6" t="s">
        <v>409</v>
      </c>
      <c r="E139" s="4" t="str">
        <f>IFERROR(__xludf.DUMMYFUNCTION("GOOGLETRANSLATE(B139,""en"",""fr"")"),"Partager le trajet")</f>
        <v>Partager le trajet</v>
      </c>
      <c r="F139" s="4" t="str">
        <f>IFERROR(__xludf.DUMMYFUNCTION("GOOGLETRANSLATE(B139,""en"",""tr"")"),"Paylaşımlı Yolculuk")</f>
        <v>Paylaşımlı Yolculuk</v>
      </c>
      <c r="G139" s="4" t="str">
        <f>IFERROR(__xludf.DUMMYFUNCTION("GOOGLETRANSLATE(B139,""en"",""ru"")"),"Поделиться поездкой")</f>
        <v>Поделиться поездкой</v>
      </c>
      <c r="H139" s="4" t="str">
        <f>IFERROR(__xludf.DUMMYFUNCTION("GOOGLETRANSLATE(B139,""en"",""it"")"),"Condividi il viaggio")</f>
        <v>Condividi il viaggio</v>
      </c>
      <c r="I139" s="4" t="str">
        <f>IFERROR(__xludf.DUMMYFUNCTION("GOOGLETRANSLATE(B139,""en"",""de"")"),"Mitfahrgelegenheit")</f>
        <v>Mitfahrgelegenheit</v>
      </c>
      <c r="J139" s="4" t="str">
        <f>IFERROR(__xludf.DUMMYFUNCTION("GOOGLETRANSLATE(B139,""en"",""ko"")"),"공유 승차")</f>
        <v>공유 승차</v>
      </c>
      <c r="K139" s="4" t="str">
        <f>IFERROR(__xludf.DUMMYFUNCTION("GOOGLETRANSLATE(B139,""en"",""zh"")"),"拼车")</f>
        <v>拼车</v>
      </c>
      <c r="L139" s="4" t="str">
        <f>IFERROR(__xludf.DUMMYFUNCTION("GOOGLETRANSLATE(B139,""en"",""es"")"),"Compartir viaje")</f>
        <v>Compartir viaje</v>
      </c>
      <c r="M139" s="4" t="str">
        <f>IFERROR(__xludf.DUMMYFUNCTION("GOOGLETRANSLATE(B139,""en"",""iw"")"),"שתף נסיעה")</f>
        <v>שתף נסיעה</v>
      </c>
      <c r="N139" s="4" t="str">
        <f>IFERROR(__xludf.DUMMYFUNCTION("GOOGLETRANSLATE(B139,""en"",""bn"")"),"শেয়ার রাইড")</f>
        <v>শেয়ার রাইড</v>
      </c>
      <c r="O139" s="4" t="str">
        <f>IFERROR(__xludf.DUMMYFUNCTION("GOOGLETRANSLATE(B139,""en"",""pt"")"),"Compartilhe o passeio")</f>
        <v>Compartilhe o passeio</v>
      </c>
    </row>
    <row r="140">
      <c r="A140" s="7" t="s">
        <v>410</v>
      </c>
      <c r="B140" s="3" t="s">
        <v>411</v>
      </c>
      <c r="C140" s="4" t="str">
        <f>IFERROR(__xludf.DUMMYFUNCTION("GOOGLETRANSLATE(B140,""en"",""hi"")"),"क्या आप यात्रा रद्द करना चाहते हैं?")</f>
        <v>क्या आप यात्रा रद्द करना चाहते हैं?</v>
      </c>
      <c r="D140" s="6" t="s">
        <v>412</v>
      </c>
      <c r="E140" s="4" t="str">
        <f>IFERROR(__xludf.DUMMYFUNCTION("GOOGLETRANSLATE(B140,""en"",""fr"")"),"Êtes-vous sûr d'annuler le trajet ?")</f>
        <v>Êtes-vous sûr d'annuler le trajet ?</v>
      </c>
      <c r="F140" s="4" t="str">
        <f>IFERROR(__xludf.DUMMYFUNCTION("GOOGLETRANSLATE(B140,""en"",""tr"")"),"Yolculuğu iptal etmek istediğinizden emin misiniz?")</f>
        <v>Yolculuğu iptal etmek istediğinizden emin misiniz?</v>
      </c>
      <c r="G140" s="4" t="str">
        <f>IFERROR(__xludf.DUMMYFUNCTION("GOOGLETRANSLATE(B140,""en"",""ru"")"),"Вы уверены, что хотите отменить поездку?")</f>
        <v>Вы уверены, что хотите отменить поездку?</v>
      </c>
      <c r="H140" s="4" t="str">
        <f>IFERROR(__xludf.DUMMYFUNCTION("GOOGLETRANSLATE(B140,""en"",""it"")"),"Sei sicuro di annullare la corsa?")</f>
        <v>Sei sicuro di annullare la corsa?</v>
      </c>
      <c r="I140" s="4" t="str">
        <f>IFERROR(__xludf.DUMMYFUNCTION("GOOGLETRANSLATE(B140,""en"",""de"")"),"Möchten Sie die Fahrt wirklich stornieren?")</f>
        <v>Möchten Sie die Fahrt wirklich stornieren?</v>
      </c>
      <c r="J140" s="4" t="str">
        <f>IFERROR(__xludf.DUMMYFUNCTION("GOOGLETRANSLATE(B140,""en"",""ko"")"),"승차를 취소하시겠습니까?")</f>
        <v>승차를 취소하시겠습니까?</v>
      </c>
      <c r="K140" s="4" t="str">
        <f>IFERROR(__xludf.DUMMYFUNCTION("GOOGLETRANSLATE(B140,""en"",""zh"")"),"您确定取消行程吗")</f>
        <v>您确定取消行程吗</v>
      </c>
      <c r="L140" s="4" t="str">
        <f>IFERROR(__xludf.DUMMYFUNCTION("GOOGLETRANSLATE(B140,""en"",""es"")"),"¿Estás seguro de cancelar el viaje?")</f>
        <v>¿Estás seguro de cancelar el viaje?</v>
      </c>
      <c r="M140" s="4" t="str">
        <f>IFERROR(__xludf.DUMMYFUNCTION("GOOGLETRANSLATE(B140,""en"",""iw"")"),"בטוח שתבטל את הנסיעה")</f>
        <v>בטוח שתבטל את הנסיעה</v>
      </c>
      <c r="N140" s="4" t="str">
        <f>IFERROR(__xludf.DUMMYFUNCTION("GOOGLETRANSLATE(B140,""en"",""bn"")"),"আপনি কি রাইড বাতিল করার বিষয়ে নিশ্চিত")</f>
        <v>আপনি কি রাইড বাতিল করার বিষয়ে নিশ্চিত</v>
      </c>
      <c r="O140" s="4" t="str">
        <f>IFERROR(__xludf.DUMMYFUNCTION("GOOGLETRANSLATE(B140,""en"",""pt"")"),"Tem certeza de que deseja cancelar a viagem?")</f>
        <v>Tem certeza de que deseja cancelar a viagem?</v>
      </c>
    </row>
    <row r="141">
      <c r="A141" s="7" t="s">
        <v>413</v>
      </c>
      <c r="B141" s="3" t="s">
        <v>414</v>
      </c>
      <c r="C141" s="4" t="str">
        <f>IFERROR(__xludf.DUMMYFUNCTION("GOOGLETRANSLATE(B141,""en"",""hi"")"),"आपकी सवारी रद्द कर दी जाएगी और मुख्य मेनू पर वापस भेज दी जाएगी। इसके लिए आपको रद्दीकरण शुल्क देना होगा।")</f>
        <v>आपकी सवारी रद्द कर दी जाएगी और मुख्य मेनू पर वापस भेज दी जाएगी। इसके लिए आपको रद्दीकरण शुल्क देना होगा।</v>
      </c>
      <c r="D141" s="6" t="s">
        <v>415</v>
      </c>
      <c r="E141" s="4" t="str">
        <f>IFERROR(__xludf.DUMMYFUNCTION("GOOGLETRANSLATE(B141,""en"",""fr"")"),"Votre course sera annulée et vous serez renvoyé au menu principal. Des frais d'annulation vous seront facturés.")</f>
        <v>Votre course sera annulée et vous serez renvoyé au menu principal. Des frais d'annulation vous seront facturés.</v>
      </c>
      <c r="F141" s="4" t="str">
        <f>IFERROR(__xludf.DUMMYFUNCTION("GOOGLETRANSLATE(B141,""en"",""tr"")"),"Yolculuğunuz iptal edilecek ve ana menüye geri dönülecektir. Bu, iptal ücretine yol açacaktır.")</f>
        <v>Yolculuğunuz iptal edilecek ve ana menüye geri dönülecektir. Bu, iptal ücretine yol açacaktır.</v>
      </c>
      <c r="G141" s="4" t="str">
        <f>IFERROR(__xludf.DUMMYFUNCTION("GOOGLETRANSLATE(B141,""en"",""ru"")"),"Ваша поездка будет отменена и возвращена в главное меню. За отмену будет взиматься плата.")</f>
        <v>Ваша поездка будет отменена и возвращена в главное меню. За отмену будет взиматься плата.</v>
      </c>
      <c r="H141" s="4" t="str">
        <f>IFERROR(__xludf.DUMMYFUNCTION("GOOGLETRANSLATE(B141,""en"",""it"")"),"La tua corsa verrà annullata e tornerai al menu principale. Ciò comporterà una penale di cancellazione.")</f>
        <v>La tua corsa verrà annullata e tornerai al menu principale. Ciò comporterà una penale di cancellazione.</v>
      </c>
      <c r="I141" s="4" t="str">
        <f>IFERROR(__xludf.DUMMYFUNCTION("GOOGLETRANSLATE(B141,""en"",""de"")"),"Ihre Fahrt wird storniert und Sie kehren zum Hauptmenü zurück. Dies führt zu einer Stornierungsgebühr")</f>
        <v>Ihre Fahrt wird storniert und Sie kehren zum Hauptmenü zurück. Dies führt zu einer Stornierungsgebühr</v>
      </c>
      <c r="J141" s="4" t="str">
        <f>IFERROR(__xludf.DUMMYFUNCTION("GOOGLETRANSLATE(B141,""en"",""ko"")"),"탑승이 취소되고 메인 메뉴로 돌아갑니다. 취소 수수료가 부과됩니다.")</f>
        <v>탑승이 취소되고 메인 메뉴로 돌아갑니다. 취소 수수료가 부과됩니다.</v>
      </c>
      <c r="K141" s="4" t="str">
        <f>IFERROR(__xludf.DUMMYFUNCTION("GOOGLETRANSLATE(B141,""en"",""zh"")"),"您的行程将被取消并返回主菜单。这将产生取消费用")</f>
        <v>您的行程将被取消并返回主菜单。这将产生取消费用</v>
      </c>
      <c r="L141" s="4" t="str">
        <f>IFERROR(__xludf.DUMMYFUNCTION("GOOGLETRANSLATE(B141,""en"",""es"")"),"Tu viaje se cancelará y volverá al menú principal. Esto conllevará un cargo por cancelación.")</f>
        <v>Tu viaje se cancelará y volverá al menú principal. Esto conllevará un cargo por cancelación.</v>
      </c>
      <c r="M141" s="4" t="str">
        <f>IFERROR(__xludf.DUMMYFUNCTION("GOOGLETRANSLATE(B141,""en"",""iw"")"),"הנסיעה שלך תבוטל ותחזור לתפריט הראשי. זה יוביל לדמי ביטול")</f>
        <v>הנסיעה שלך תבוטל ותחזור לתפריט הראשי. זה יוביל לדמי ביטול</v>
      </c>
      <c r="N141" s="4" t="str">
        <f>IFERROR(__xludf.DUMMYFUNCTION("GOOGLETRANSLATE(B141,""en"",""bn"")"),"আপনার রাইড বাতিল করা হবে এবং মূল মেনুতে ফিরে আসবে। এটি বাতিল ফি বাড়ে")</f>
        <v>আপনার রাইড বাতিল করা হবে এবং মূল মেনুতে ফিরে আসবে। এটি বাতিল ফি বাড়ে</v>
      </c>
      <c r="O141" s="4" t="str">
        <f>IFERROR(__xludf.DUMMYFUNCTION("GOOGLETRANSLATE(B141,""en"",""pt"")"),"Sua viagem será cancelada e retornará ao menu principal. Isso resultará em uma taxa de cancelamento.")</f>
        <v>Sua viagem será cancelada e retornará ao menu principal. Isso resultará em uma taxa de cancelamento.</v>
      </c>
    </row>
    <row r="142">
      <c r="A142" s="7" t="s">
        <v>416</v>
      </c>
      <c r="B142" s="3" t="s">
        <v>417</v>
      </c>
      <c r="C142" s="4" t="str">
        <f>IFERROR(__xludf.DUMMYFUNCTION("GOOGLETRANSLATE(B142,""en"",""hi"")"),"रद्द न करें")</f>
        <v>रद्द न करें</v>
      </c>
      <c r="D142" s="6" t="s">
        <v>418</v>
      </c>
      <c r="E142" s="4" t="str">
        <f>IFERROR(__xludf.DUMMYFUNCTION("GOOGLETRANSLATE(B142,""en"",""fr"")"),"N'annulez pas")</f>
        <v>N'annulez pas</v>
      </c>
      <c r="F142" s="4" t="str">
        <f>IFERROR(__xludf.DUMMYFUNCTION("GOOGLETRANSLATE(B142,""en"",""tr"")"),"İptal Etmeyin")</f>
        <v>İptal Etmeyin</v>
      </c>
      <c r="G142" s="4" t="str">
        <f>IFERROR(__xludf.DUMMYFUNCTION("GOOGLETRANSLATE(B142,""en"",""ru"")"),"Не отменять")</f>
        <v>Не отменять</v>
      </c>
      <c r="H142" s="4" t="str">
        <f>IFERROR(__xludf.DUMMYFUNCTION("GOOGLETRANSLATE(B142,""en"",""it"")"),"Non annullare")</f>
        <v>Non annullare</v>
      </c>
      <c r="I142" s="4" t="str">
        <f>IFERROR(__xludf.DUMMYFUNCTION("GOOGLETRANSLATE(B142,""en"",""de"")"),"Nicht abbrechen")</f>
        <v>Nicht abbrechen</v>
      </c>
      <c r="J142" s="4" t="str">
        <f>IFERROR(__xludf.DUMMYFUNCTION("GOOGLETRANSLATE(B142,""en"",""ko"")"),"취소하지 마세요")</f>
        <v>취소하지 마세요</v>
      </c>
      <c r="K142" s="4" t="str">
        <f>IFERROR(__xludf.DUMMYFUNCTION("GOOGLETRANSLATE(B142,""en"",""zh"")"),"不要取消")</f>
        <v>不要取消</v>
      </c>
      <c r="L142" s="4" t="str">
        <f>IFERROR(__xludf.DUMMYFUNCTION("GOOGLETRANSLATE(B142,""en"",""es"")"),"No cancelar")</f>
        <v>No cancelar</v>
      </c>
      <c r="M142" s="4" t="str">
        <f>IFERROR(__xludf.DUMMYFUNCTION("GOOGLETRANSLATE(B142,""en"",""iw"")"),"אל תבטל")</f>
        <v>אל תבטל</v>
      </c>
      <c r="N142" s="4" t="str">
        <f>IFERROR(__xludf.DUMMYFUNCTION("GOOGLETRANSLATE(B142,""en"",""bn"")"),"বাতিল করবেন না")</f>
        <v>বাতিল করবেন না</v>
      </c>
      <c r="O142" s="4" t="str">
        <f>IFERROR(__xludf.DUMMYFUNCTION("GOOGLETRANSLATE(B142,""en"",""pt"")"),"Não cancelar")</f>
        <v>Não cancelar</v>
      </c>
    </row>
    <row r="143">
      <c r="A143" s="7" t="s">
        <v>419</v>
      </c>
      <c r="B143" s="3" t="s">
        <v>420</v>
      </c>
      <c r="C143" s="4" t="str">
        <f>IFERROR(__xludf.DUMMYFUNCTION("GOOGLETRANSLATE(B143,""en"",""hi"")"),"सवारी रद्द करने का कारण")</f>
        <v>सवारी रद्द करने का कारण</v>
      </c>
      <c r="D143" s="6" t="s">
        <v>421</v>
      </c>
      <c r="E143" s="4" t="str">
        <f>IFERROR(__xludf.DUMMYFUNCTION("GOOGLETRANSLATE(B143,""en"",""fr"")"),"Motif de l'annulation du trajet")</f>
        <v>Motif de l'annulation du trajet</v>
      </c>
      <c r="F143" s="4" t="str">
        <f>IFERROR(__xludf.DUMMYFUNCTION("GOOGLETRANSLATE(B143,""en"",""tr"")"),"Yolculuğun iptal edilme nedeni")</f>
        <v>Yolculuğun iptal edilme nedeni</v>
      </c>
      <c r="G143" s="4" t="str">
        <f>IFERROR(__xludf.DUMMYFUNCTION("GOOGLETRANSLATE(B143,""en"",""ru"")"),"Причина отмены поездки")</f>
        <v>Причина отмены поездки</v>
      </c>
      <c r="H143" s="4" t="str">
        <f>IFERROR(__xludf.DUMMYFUNCTION("GOOGLETRANSLATE(B143,""en"",""it"")"),"Motivo dell'annullamento della corsa")</f>
        <v>Motivo dell'annullamento della corsa</v>
      </c>
      <c r="I143" s="4" t="str">
        <f>IFERROR(__xludf.DUMMYFUNCTION("GOOGLETRANSLATE(B143,""en"",""de"")"),"Grund für die Stornierung der Fahrt")</f>
        <v>Grund für die Stornierung der Fahrt</v>
      </c>
      <c r="J143" s="4" t="str">
        <f>IFERROR(__xludf.DUMMYFUNCTION("GOOGLETRANSLATE(B143,""en"",""ko"")"),"승차 취소 사유")</f>
        <v>승차 취소 사유</v>
      </c>
      <c r="K143" s="4" t="str">
        <f>IFERROR(__xludf.DUMMYFUNCTION("GOOGLETRANSLATE(B143,""en"",""zh"")"),"取消行程的原因")</f>
        <v>取消行程的原因</v>
      </c>
      <c r="L143" s="4" t="str">
        <f>IFERROR(__xludf.DUMMYFUNCTION("GOOGLETRANSLATE(B143,""en"",""es"")"),"Motivo de la cancelación del viaje")</f>
        <v>Motivo de la cancelación del viaje</v>
      </c>
      <c r="M143" s="4" t="str">
        <f>IFERROR(__xludf.DUMMYFUNCTION("GOOGLETRANSLATE(B143,""en"",""iw"")"),"סיבה לביטול הנסיעה")</f>
        <v>סיבה לביטול הנסיעה</v>
      </c>
      <c r="N143" s="4" t="str">
        <f>IFERROR(__xludf.DUMMYFUNCTION("GOOGLETRANSLATE(B143,""en"",""bn"")"),"রাইড বাতিল করার কারণ")</f>
        <v>রাইড বাতিল করার কারণ</v>
      </c>
      <c r="O143" s="4" t="str">
        <f>IFERROR(__xludf.DUMMYFUNCTION("GOOGLETRANSLATE(B143,""en"",""pt"")"),"Motivo do cancelamento da viagem")</f>
        <v>Motivo do cancelamento da viagem</v>
      </c>
    </row>
    <row r="144">
      <c r="A144" s="7" t="s">
        <v>422</v>
      </c>
      <c r="B144" s="3" t="s">
        <v>423</v>
      </c>
      <c r="C144" s="4" t="str">
        <f>IFERROR(__xludf.DUMMYFUNCTION("GOOGLETRANSLATE(B144,""en"",""hi"")"),"कोई ड्राइवर नहीं मिला")</f>
        <v>कोई ड्राइवर नहीं मिला</v>
      </c>
      <c r="D144" s="6" t="s">
        <v>424</v>
      </c>
      <c r="E144" s="4" t="str">
        <f>IFERROR(__xludf.DUMMYFUNCTION("GOOGLETRANSLATE(B144,""en"",""fr"")"),"Aucun pilote trouvé")</f>
        <v>Aucun pilote trouvé</v>
      </c>
      <c r="F144" s="4" t="str">
        <f>IFERROR(__xludf.DUMMYFUNCTION("GOOGLETRANSLATE(B144,""en"",""tr"")"),"Sürücü Bulunamadı")</f>
        <v>Sürücü Bulunamadı</v>
      </c>
      <c r="G144" s="4" t="str">
        <f>IFERROR(__xludf.DUMMYFUNCTION("GOOGLETRANSLATE(B144,""en"",""ru"")"),"Драйвер не найден")</f>
        <v>Драйвер не найден</v>
      </c>
      <c r="H144" s="4" t="str">
        <f>IFERROR(__xludf.DUMMYFUNCTION("GOOGLETRANSLATE(B144,""en"",""it"")"),"Nessun driver trovato")</f>
        <v>Nessun driver trovato</v>
      </c>
      <c r="I144" s="4" t="str">
        <f>IFERROR(__xludf.DUMMYFUNCTION("GOOGLETRANSLATE(B144,""en"",""de"")"),"Kein Treiber gefunden")</f>
        <v>Kein Treiber gefunden</v>
      </c>
      <c r="J144" s="4" t="str">
        <f>IFERROR(__xludf.DUMMYFUNCTION("GOOGLETRANSLATE(B144,""en"",""ko"")"),"드라이버를 찾을 수 없습니다")</f>
        <v>드라이버를 찾을 수 없습니다</v>
      </c>
      <c r="K144" s="4" t="str">
        <f>IFERROR(__xludf.DUMMYFUNCTION("GOOGLETRANSLATE(B144,""en"",""zh"")"),"未找到驱动程序")</f>
        <v>未找到驱动程序</v>
      </c>
      <c r="L144" s="4" t="str">
        <f>IFERROR(__xludf.DUMMYFUNCTION("GOOGLETRANSLATE(B144,""en"",""es"")"),"No se encontró ningún controlador")</f>
        <v>No se encontró ningún controlador</v>
      </c>
      <c r="M144" s="4" t="str">
        <f>IFERROR(__xludf.DUMMYFUNCTION("GOOGLETRANSLATE(B144,""en"",""iw"")"),"לא נמצא דרייבר")</f>
        <v>לא נמצא דרייבר</v>
      </c>
      <c r="N144" s="4" t="str">
        <f>IFERROR(__xludf.DUMMYFUNCTION("GOOGLETRANSLATE(B144,""en"",""bn"")"),"কোন ড্রাইভার পাওয়া যায়নি")</f>
        <v>কোন ড্রাইভার পাওয়া যায়নি</v>
      </c>
      <c r="O144" s="4" t="str">
        <f>IFERROR(__xludf.DUMMYFUNCTION("GOOGLETRANSLATE(B144,""en"",""pt"")"),"Nenhum driver encontrado")</f>
        <v>Nenhum driver encontrado</v>
      </c>
    </row>
    <row r="145">
      <c r="A145" s="7" t="s">
        <v>425</v>
      </c>
      <c r="B145" s="3" t="s">
        <v>426</v>
      </c>
      <c r="C145" s="4" t="str">
        <f>IFERROR(__xludf.DUMMYFUNCTION("GOOGLETRANSLATE(B145,""en"",""hi"")"),"पुनः प्रयास करें")</f>
        <v>पुनः प्रयास करें</v>
      </c>
      <c r="D145" s="6" t="s">
        <v>427</v>
      </c>
      <c r="E145" s="4" t="str">
        <f>IFERROR(__xludf.DUMMYFUNCTION("GOOGLETRANSLATE(B145,""en"",""fr"")"),"Essayer à nouveau")</f>
        <v>Essayer à nouveau</v>
      </c>
      <c r="F145" s="4" t="str">
        <f>IFERROR(__xludf.DUMMYFUNCTION("GOOGLETRANSLATE(B145,""en"",""tr"")"),"Tekrar deneyin")</f>
        <v>Tekrar deneyin</v>
      </c>
      <c r="G145" s="4" t="str">
        <f>IFERROR(__xludf.DUMMYFUNCTION("GOOGLETRANSLATE(B145,""en"",""ru"")"),"Попробуйте еще раз")</f>
        <v>Попробуйте еще раз</v>
      </c>
      <c r="H145" s="4" t="str">
        <f>IFERROR(__xludf.DUMMYFUNCTION("GOOGLETRANSLATE(B145,""en"",""it"")"),"Riprova")</f>
        <v>Riprova</v>
      </c>
      <c r="I145" s="4" t="str">
        <f>IFERROR(__xludf.DUMMYFUNCTION("GOOGLETRANSLATE(B145,""en"",""de"")"),"Versuchen Sie es erneut")</f>
        <v>Versuchen Sie es erneut</v>
      </c>
      <c r="J145" s="4" t="str">
        <f>IFERROR(__xludf.DUMMYFUNCTION("GOOGLETRANSLATE(B145,""en"",""ko"")"),"다시 시도하세요")</f>
        <v>다시 시도하세요</v>
      </c>
      <c r="K145" s="4" t="str">
        <f>IFERROR(__xludf.DUMMYFUNCTION("GOOGLETRANSLATE(B145,""en"",""zh"")"),"再试一次")</f>
        <v>再试一次</v>
      </c>
      <c r="L145" s="4" t="str">
        <f>IFERROR(__xludf.DUMMYFUNCTION("GOOGLETRANSLATE(B145,""en"",""es"")"),"Intentar otra vez")</f>
        <v>Intentar otra vez</v>
      </c>
      <c r="M145" s="4" t="str">
        <f>IFERROR(__xludf.DUMMYFUNCTION("GOOGLETRANSLATE(B145,""en"",""iw"")"),"נסה שוב")</f>
        <v>נסה שוב</v>
      </c>
      <c r="N145" s="4" t="str">
        <f>IFERROR(__xludf.DUMMYFUNCTION("GOOGLETRANSLATE(B145,""en"",""bn"")"),"আবার চেষ্টা করুন")</f>
        <v>আবার চেষ্টা করুন</v>
      </c>
      <c r="O145" s="4" t="str">
        <f>IFERROR(__xludf.DUMMYFUNCTION("GOOGLETRANSLATE(B145,""en"",""pt"")"),"Tentar novamente")</f>
        <v>Tentar novamente</v>
      </c>
    </row>
    <row r="146">
      <c r="A146" s="7" t="s">
        <v>428</v>
      </c>
      <c r="B146" s="3" t="s">
        <v>429</v>
      </c>
      <c r="C146" s="4" t="str">
        <f>IFERROR(__xludf.DUMMYFUNCTION("GOOGLETRANSLATE(B146,""en"",""hi"")"),"बाद में सवारी करें")</f>
        <v>बाद में सवारी करें</v>
      </c>
      <c r="D146" s="6" t="s">
        <v>430</v>
      </c>
      <c r="E146" s="4" t="str">
        <f>IFERROR(__xludf.DUMMYFUNCTION("GOOGLETRANSLATE(B146,""en"",""fr"")"),"Roulez plus tard")</f>
        <v>Roulez plus tard</v>
      </c>
      <c r="F146" s="4" t="str">
        <f>IFERROR(__xludf.DUMMYFUNCTION("GOOGLETRANSLATE(B146,""en"",""tr"")"),"Daha Sonra Bin")</f>
        <v>Daha Sonra Bin</v>
      </c>
      <c r="G146" s="4" t="str">
        <f>IFERROR(__xludf.DUMMYFUNCTION("GOOGLETRANSLATE(B146,""en"",""ru"")"),"Поезжайте позже")</f>
        <v>Поезжайте позже</v>
      </c>
      <c r="H146" s="4" t="str">
        <f>IFERROR(__xludf.DUMMYFUNCTION("GOOGLETRANSLATE(B146,""en"",""it"")"),"Viaggia più tardi")</f>
        <v>Viaggia più tardi</v>
      </c>
      <c r="I146" s="4" t="str">
        <f>IFERROR(__xludf.DUMMYFUNCTION("GOOGLETRANSLATE(B146,""en"",""de"")"),"Später fahren")</f>
        <v>Später fahren</v>
      </c>
      <c r="J146" s="4" t="str">
        <f>IFERROR(__xludf.DUMMYFUNCTION("GOOGLETRANSLATE(B146,""en"",""ko"")"),"나중에 타세요")</f>
        <v>나중에 타세요</v>
      </c>
      <c r="K146" s="4" t="str">
        <f>IFERROR(__xludf.DUMMYFUNCTION("GOOGLETRANSLATE(B146,""en"",""zh"")"),"稍后骑行")</f>
        <v>稍后骑行</v>
      </c>
      <c r="L146" s="4" t="str">
        <f>IFERROR(__xludf.DUMMYFUNCTION("GOOGLETRANSLATE(B146,""en"",""es"")"),"Viajar más tarde")</f>
        <v>Viajar más tarde</v>
      </c>
      <c r="M146" s="4" t="str">
        <f>IFERROR(__xludf.DUMMYFUNCTION("GOOGLETRANSLATE(B146,""en"",""iw"")"),"סע מאוחר יותר")</f>
        <v>סע מאוחר יותר</v>
      </c>
      <c r="N146" s="4" t="str">
        <f>IFERROR(__xludf.DUMMYFUNCTION("GOOGLETRANSLATE(B146,""en"",""bn"")"),"পরে রাইড করুন")</f>
        <v>পরে রাইড করুন</v>
      </c>
      <c r="O146" s="4" t="str">
        <f>IFERROR(__xludf.DUMMYFUNCTION("GOOGLETRANSLATE(B146,""en"",""pt"")"),"Pedale mais tarde")</f>
        <v>Pedale mais tarde</v>
      </c>
    </row>
    <row r="147">
      <c r="A147" s="7" t="s">
        <v>431</v>
      </c>
      <c r="B147" s="3" t="s">
        <v>432</v>
      </c>
      <c r="C147" s="4" t="str">
        <f>IFERROR(__xludf.DUMMYFUNCTION("GOOGLETRANSLATE(B147,""en"",""hi"")"),"सवारी बुक करें")</f>
        <v>सवारी बुक करें</v>
      </c>
      <c r="D147" s="6" t="s">
        <v>433</v>
      </c>
      <c r="E147" s="4" t="str">
        <f>IFERROR(__xludf.DUMMYFUNCTION("GOOGLETRANSLATE(B147,""en"",""fr"")"),"Balade en voiture")</f>
        <v>Balade en voiture</v>
      </c>
      <c r="F147" s="4" t="str">
        <f>IFERROR(__xludf.DUMMYFUNCTION("GOOGLETRANSLATE(B147,""en"",""tr"")"),"Kitap Turu")</f>
        <v>Kitap Turu</v>
      </c>
      <c r="G147" s="4" t="str">
        <f>IFERROR(__xludf.DUMMYFUNCTION("GOOGLETRANSLATE(B147,""en"",""ru"")"),"Забронировать поездку")</f>
        <v>Забронировать поездку</v>
      </c>
      <c r="H147" s="4" t="str">
        <f>IFERROR(__xludf.DUMMYFUNCTION("GOOGLETRANSLATE(B147,""en"",""it"")"),"Prenota il giro")</f>
        <v>Prenota il giro</v>
      </c>
      <c r="I147" s="4" t="str">
        <f>IFERROR(__xludf.DUMMYFUNCTION("GOOGLETRANSLATE(B147,""en"",""de"")"),"Fahrt buchen")</f>
        <v>Fahrt buchen</v>
      </c>
      <c r="J147" s="4" t="str">
        <f>IFERROR(__xludf.DUMMYFUNCTION("GOOGLETRANSLATE(B147,""en"",""ko"")"),"라이드 예약")</f>
        <v>라이드 예약</v>
      </c>
      <c r="K147" s="4" t="str">
        <f>IFERROR(__xludf.DUMMYFUNCTION("GOOGLETRANSLATE(B147,""en"",""zh"")"),"预订行程")</f>
        <v>预订行程</v>
      </c>
      <c r="L147" s="4" t="str">
        <f>IFERROR(__xludf.DUMMYFUNCTION("GOOGLETRANSLATE(B147,""en"",""es"")"),"Paseo del libro")</f>
        <v>Paseo del libro</v>
      </c>
      <c r="M147" s="4" t="str">
        <f>IFERROR(__xludf.DUMMYFUNCTION("GOOGLETRANSLATE(B147,""en"",""iw"")"),"ספר נסיעה")</f>
        <v>ספר נסיעה</v>
      </c>
      <c r="N147" s="4" t="str">
        <f>IFERROR(__xludf.DUMMYFUNCTION("GOOGLETRANSLATE(B147,""en"",""bn"")"),"বুক রাইড")</f>
        <v>বুক রাইড</v>
      </c>
      <c r="O147" s="4" t="str">
        <f>IFERROR(__xludf.DUMMYFUNCTION("GOOGLETRANSLATE(B147,""en"",""pt"")"),"Passeio de livro")</f>
        <v>Passeio de livro</v>
      </c>
    </row>
    <row r="148">
      <c r="A148" s="7" t="s">
        <v>434</v>
      </c>
      <c r="B148" s="3" t="s">
        <v>435</v>
      </c>
      <c r="C148" s="4" t="str">
        <f>IFERROR(__xludf.DUMMYFUNCTION("GOOGLETRANSLATE(B148,""en"",""hi"")"),"घर")</f>
        <v>घर</v>
      </c>
      <c r="D148" s="6" t="s">
        <v>436</v>
      </c>
      <c r="E148" s="4" t="str">
        <f>IFERROR(__xludf.DUMMYFUNCTION("GOOGLETRANSLATE(B148,""en"",""fr"")"),"Maison")</f>
        <v>Maison</v>
      </c>
      <c r="F148" s="4" t="str">
        <f>IFERROR(__xludf.DUMMYFUNCTION("GOOGLETRANSLATE(B148,""en"",""tr"")"),"Ev")</f>
        <v>Ev</v>
      </c>
      <c r="G148" s="4" t="str">
        <f>IFERROR(__xludf.DUMMYFUNCTION("GOOGLETRANSLATE(B148,""en"",""ru"")"),"Дом")</f>
        <v>Дом</v>
      </c>
      <c r="H148" s="4" t="str">
        <f>IFERROR(__xludf.DUMMYFUNCTION("GOOGLETRANSLATE(B148,""en"",""it"")"),"Casa")</f>
        <v>Casa</v>
      </c>
      <c r="I148" s="4" t="str">
        <f>IFERROR(__xludf.DUMMYFUNCTION("GOOGLETRANSLATE(B148,""en"",""de"")"),"Heim")</f>
        <v>Heim</v>
      </c>
      <c r="J148" s="4" t="str">
        <f>IFERROR(__xludf.DUMMYFUNCTION("GOOGLETRANSLATE(B148,""en"",""ko"")"),"집")</f>
        <v>집</v>
      </c>
      <c r="K148" s="4" t="str">
        <f>IFERROR(__xludf.DUMMYFUNCTION("GOOGLETRANSLATE(B148,""en"",""zh"")"),"家")</f>
        <v>家</v>
      </c>
      <c r="L148" s="4" t="str">
        <f>IFERROR(__xludf.DUMMYFUNCTION("GOOGLETRANSLATE(B148,""en"",""es"")"),"Hogar")</f>
        <v>Hogar</v>
      </c>
      <c r="M148" s="4" t="str">
        <f>IFERROR(__xludf.DUMMYFUNCTION("GOOGLETRANSLATE(B148,""en"",""iw"")"),"בַּיִת")</f>
        <v>בַּיִת</v>
      </c>
      <c r="N148" s="4" t="str">
        <f>IFERROR(__xludf.DUMMYFUNCTION("GOOGLETRANSLATE(B148,""en"",""bn"")"),"বাড়ি")</f>
        <v>বাড়ি</v>
      </c>
      <c r="O148" s="4" t="str">
        <f>IFERROR(__xludf.DUMMYFUNCTION("GOOGLETRANSLATE(B148,""en"",""pt"")"),"Lar")</f>
        <v>Lar</v>
      </c>
    </row>
    <row r="149">
      <c r="A149" s="7" t="s">
        <v>437</v>
      </c>
      <c r="B149" s="3" t="s">
        <v>438</v>
      </c>
      <c r="C149" s="4" t="str">
        <f>IFERROR(__xludf.DUMMYFUNCTION("GOOGLETRANSLATE(B149,""en"",""hi"")"),"काम")</f>
        <v>काम</v>
      </c>
      <c r="D149" s="6" t="s">
        <v>439</v>
      </c>
      <c r="E149" s="4" t="str">
        <f>IFERROR(__xludf.DUMMYFUNCTION("GOOGLETRANSLATE(B149,""en"",""fr"")"),"Travail")</f>
        <v>Travail</v>
      </c>
      <c r="F149" s="4" t="str">
        <f>IFERROR(__xludf.DUMMYFUNCTION("GOOGLETRANSLATE(B149,""en"",""tr"")"),"İş")</f>
        <v>İş</v>
      </c>
      <c r="G149" s="4" t="str">
        <f>IFERROR(__xludf.DUMMYFUNCTION("GOOGLETRANSLATE(B149,""en"",""ru"")"),"Работа")</f>
        <v>Работа</v>
      </c>
      <c r="H149" s="4" t="str">
        <f>IFERROR(__xludf.DUMMYFUNCTION("GOOGLETRANSLATE(B149,""en"",""it"")"),"Lavoro")</f>
        <v>Lavoro</v>
      </c>
      <c r="I149" s="4" t="str">
        <f>IFERROR(__xludf.DUMMYFUNCTION("GOOGLETRANSLATE(B149,""en"",""de"")"),"Arbeiten")</f>
        <v>Arbeiten</v>
      </c>
      <c r="J149" s="4" t="str">
        <f>IFERROR(__xludf.DUMMYFUNCTION("GOOGLETRANSLATE(B149,""en"",""ko"")"),"일하다")</f>
        <v>일하다</v>
      </c>
      <c r="K149" s="4" t="str">
        <f>IFERROR(__xludf.DUMMYFUNCTION("GOOGLETRANSLATE(B149,""en"",""zh"")"),"工作")</f>
        <v>工作</v>
      </c>
      <c r="L149" s="4" t="str">
        <f>IFERROR(__xludf.DUMMYFUNCTION("GOOGLETRANSLATE(B149,""en"",""es"")"),"Trabajar")</f>
        <v>Trabajar</v>
      </c>
      <c r="M149" s="4" t="str">
        <f>IFERROR(__xludf.DUMMYFUNCTION("GOOGLETRANSLATE(B149,""en"",""iw"")"),"עֲבוֹדָה")</f>
        <v>עֲבוֹדָה</v>
      </c>
      <c r="N149" s="4" t="str">
        <f>IFERROR(__xludf.DUMMYFUNCTION("GOOGLETRANSLATE(B149,""en"",""bn"")"),"কাজ")</f>
        <v>কাজ</v>
      </c>
      <c r="O149" s="4" t="str">
        <f>IFERROR(__xludf.DUMMYFUNCTION("GOOGLETRANSLATE(B149,""en"",""pt"")"),"Trabalhar")</f>
        <v>Trabalhar</v>
      </c>
    </row>
    <row r="150">
      <c r="A150" s="7" t="s">
        <v>440</v>
      </c>
      <c r="B150" s="3" t="s">
        <v>441</v>
      </c>
      <c r="C150" s="4" t="str">
        <f>IFERROR(__xludf.DUMMYFUNCTION("GOOGLETRANSLATE(B150,""en"",""hi"")"),"अन्य")</f>
        <v>अन्य</v>
      </c>
      <c r="D150" s="6" t="s">
        <v>442</v>
      </c>
      <c r="E150" s="4" t="str">
        <f>IFERROR(__xludf.DUMMYFUNCTION("GOOGLETRANSLATE(B150,""en"",""fr"")"),"Autres")</f>
        <v>Autres</v>
      </c>
      <c r="F150" s="4" t="str">
        <f>IFERROR(__xludf.DUMMYFUNCTION("GOOGLETRANSLATE(B150,""en"",""tr"")"),"Diğerleri")</f>
        <v>Diğerleri</v>
      </c>
      <c r="G150" s="4" t="str">
        <f>IFERROR(__xludf.DUMMYFUNCTION("GOOGLETRANSLATE(B150,""en"",""ru"")"),"Другие")</f>
        <v>Другие</v>
      </c>
      <c r="H150" s="4" t="str">
        <f>IFERROR(__xludf.DUMMYFUNCTION("GOOGLETRANSLATE(B150,""en"",""it"")"),"Altri")</f>
        <v>Altri</v>
      </c>
      <c r="I150" s="4" t="str">
        <f>IFERROR(__xludf.DUMMYFUNCTION("GOOGLETRANSLATE(B150,""en"",""de"")"),"Sonstige")</f>
        <v>Sonstige</v>
      </c>
      <c r="J150" s="4" t="str">
        <f>IFERROR(__xludf.DUMMYFUNCTION("GOOGLETRANSLATE(B150,""en"",""ko"")"),"기타")</f>
        <v>기타</v>
      </c>
      <c r="K150" s="4" t="str">
        <f>IFERROR(__xludf.DUMMYFUNCTION("GOOGLETRANSLATE(B150,""en"",""zh"")"),"其他的")</f>
        <v>其他的</v>
      </c>
      <c r="L150" s="4" t="str">
        <f>IFERROR(__xludf.DUMMYFUNCTION("GOOGLETRANSLATE(B150,""en"",""es"")"),"Otros")</f>
        <v>Otros</v>
      </c>
      <c r="M150" s="4" t="str">
        <f>IFERROR(__xludf.DUMMYFUNCTION("GOOGLETRANSLATE(B150,""en"",""iw"")"),"אחרים")</f>
        <v>אחרים</v>
      </c>
      <c r="N150" s="4" t="str">
        <f>IFERROR(__xludf.DUMMYFUNCTION("GOOGLETRANSLATE(B150,""en"",""bn"")"),"অন্যরা")</f>
        <v>অন্যরা</v>
      </c>
      <c r="O150" s="4" t="str">
        <f>IFERROR(__xludf.DUMMYFUNCTION("GOOGLETRANSLATE(B150,""en"",""pt"")"),"Outros")</f>
        <v>Outros</v>
      </c>
    </row>
    <row r="151">
      <c r="A151" s="7" t="s">
        <v>443</v>
      </c>
      <c r="B151" s="3" t="s">
        <v>444</v>
      </c>
      <c r="C151" s="4" t="str">
        <f>IFERROR(__xludf.DUMMYFUNCTION("GOOGLETRANSLATE(B151,""en"",""hi"")"),"पसंदीदा नाम दर्ज करें")</f>
        <v>पसंदीदा नाम दर्ज करें</v>
      </c>
      <c r="D151" s="6" t="s">
        <v>445</v>
      </c>
      <c r="E151" s="4" t="str">
        <f>IFERROR(__xludf.DUMMYFUNCTION("GOOGLETRANSLATE(B151,""en"",""fr"")"),"Entrez le nom du favori")</f>
        <v>Entrez le nom du favori</v>
      </c>
      <c r="F151" s="4" t="str">
        <f>IFERROR(__xludf.DUMMYFUNCTION("GOOGLETRANSLATE(B151,""en"",""tr"")"),"Favori Adını Girin")</f>
        <v>Favori Adını Girin</v>
      </c>
      <c r="G151" s="4" t="str">
        <f>IFERROR(__xludf.DUMMYFUNCTION("GOOGLETRANSLATE(B151,""en"",""ru"")"),"Введите имя в Избранное")</f>
        <v>Введите имя в Избранное</v>
      </c>
      <c r="H151" s="4" t="str">
        <f>IFERROR(__xludf.DUMMYFUNCTION("GOOGLETRANSLATE(B151,""en"",""it"")"),"Inserisci il nome dei preferiti")</f>
        <v>Inserisci il nome dei preferiti</v>
      </c>
      <c r="I151" s="4" t="str">
        <f>IFERROR(__xludf.DUMMYFUNCTION("GOOGLETRANSLATE(B151,""en"",""de"")"),"Geben Sie den Favoritennamen ein")</f>
        <v>Geben Sie den Favoritennamen ein</v>
      </c>
      <c r="J151" s="4" t="str">
        <f>IFERROR(__xludf.DUMMYFUNCTION("GOOGLETRANSLATE(B151,""en"",""ko"")"),"즐겨찾기 이름을 입력하세요")</f>
        <v>즐겨찾기 이름을 입력하세요</v>
      </c>
      <c r="K151" s="4" t="str">
        <f>IFERROR(__xludf.DUMMYFUNCTION("GOOGLETRANSLATE(B151,""en"",""zh"")"),"输入收藏夹名称")</f>
        <v>输入收藏夹名称</v>
      </c>
      <c r="L151" s="4" t="str">
        <f>IFERROR(__xludf.DUMMYFUNCTION("GOOGLETRANSLATE(B151,""en"",""es"")"),"Introducir nombre de favoritos")</f>
        <v>Introducir nombre de favoritos</v>
      </c>
      <c r="M151" s="4" t="str">
        <f>IFERROR(__xludf.DUMMYFUNCTION("GOOGLETRANSLATE(B151,""en"",""iw"")"),"הזן את שם המועדפים")</f>
        <v>הזן את שם המועדפים</v>
      </c>
      <c r="N151" s="4" t="str">
        <f>IFERROR(__xludf.DUMMYFUNCTION("GOOGLETRANSLATE(B151,""en"",""bn"")"),"পছন্দের নাম লিখুন")</f>
        <v>পছন্দের নাম লিখুন</v>
      </c>
      <c r="O151" s="4" t="str">
        <f>IFERROR(__xludf.DUMMYFUNCTION("GOOGLETRANSLATE(B151,""en"",""pt"")"),"Digite o nome dos favoritos")</f>
        <v>Digite o nome dos favoritos</v>
      </c>
    </row>
    <row r="152">
      <c r="A152" s="7" t="s">
        <v>446</v>
      </c>
      <c r="B152" s="3" t="s">
        <v>447</v>
      </c>
      <c r="C152" s="4" t="str">
        <f>IFERROR(__xludf.DUMMYFUNCTION("GOOGLETRANSLATE(B152,""en"",""hi"")"),"क्या आप इस समय राइड इन चुनने के लिए आश्वस्त हैं?")</f>
        <v>क्या आप इस समय राइड इन चुनने के लिए आश्वस्त हैं?</v>
      </c>
      <c r="D152" s="6" t="s">
        <v>448</v>
      </c>
      <c r="E152" s="4" t="str">
        <f>IFERROR(__xludf.DUMMYFUNCTION("GOOGLETRANSLATE(B152,""en"",""fr"")"),"Êtes-vous sûr de choisir de rouler à ce moment-là ?")</f>
        <v>Êtes-vous sûr de choisir de rouler à ce moment-là ?</v>
      </c>
      <c r="F152" s="4" t="str">
        <f>IFERROR(__xludf.DUMMYFUNCTION("GOOGLETRANSLATE(B152,""en"",""tr"")"),"Bu sefer sürüşü seçtiğinizden emin misiniz?")</f>
        <v>Bu sefer sürüşü seçtiğinizden emin misiniz?</v>
      </c>
      <c r="G152" s="4" t="str">
        <f>IFERROR(__xludf.DUMMYFUNCTION("GOOGLETRANSLATE(B152,""en"",""ru"")"),"Вы уверены, что выберете поездку в этот раз?")</f>
        <v>Вы уверены, что выберете поездку в этот раз?</v>
      </c>
      <c r="H152" s="4" t="str">
        <f>IFERROR(__xludf.DUMMYFUNCTION("GOOGLETRANSLATE(B152,""en"",""it"")"),"Sei sicuro di scegliere di fare un giro questa volta?")</f>
        <v>Sei sicuro di scegliere di fare un giro questa volta?</v>
      </c>
      <c r="I152" s="4" t="str">
        <f>IFERROR(__xludf.DUMMYFUNCTION("GOOGLETRANSLATE(B152,""en"",""de"")"),"Sind Sie sicher, dass Sie die Fahrt zu diesem Zeitpunkt wählen")</f>
        <v>Sind Sie sicher, dass Sie die Fahrt zu diesem Zeitpunkt wählen</v>
      </c>
      <c r="J152" s="4" t="str">
        <f>IFERROR(__xludf.DUMMYFUNCTION("GOOGLETRANSLATE(B152,""en"",""ko"")"),"이 시간에 라이드를 선택하시겠습니까?")</f>
        <v>이 시간에 라이드를 선택하시겠습니까?</v>
      </c>
      <c r="K152" s="4" t="str">
        <f>IFERROR(__xludf.DUMMYFUNCTION("GOOGLETRANSLATE(B152,""en"",""zh"")"),"您确定选择本次乘车吗")</f>
        <v>您确定选择本次乘车吗</v>
      </c>
      <c r="L152" s="4" t="str">
        <f>IFERROR(__xludf.DUMMYFUNCTION("GOOGLETRANSLATE(B152,""en"",""es"")"),"¿Estás seguro de elegir viajar en este momento?")</f>
        <v>¿Estás seguro de elegir viajar en este momento?</v>
      </c>
      <c r="M152" s="4" t="str">
        <f>IFERROR(__xludf.DUMMYFUNCTION("GOOGLETRANSLATE(B152,""en"",""iw"")"),"האם אתה בטוח שתבחר בנסיעה בזמן הזה")</f>
        <v>האם אתה בטוח שתבחר בנסיעה בזמן הזה</v>
      </c>
      <c r="N152" s="4" t="str">
        <f>IFERROR(__xludf.DUMMYFUNCTION("GOOGLETRANSLATE(B152,""en"",""bn"")"),"আপনি কি এই সময়ে রাইড বেছে নেওয়ার ব্যাপারে নিশ্চিত")</f>
        <v>আপনি কি এই সময়ে রাইড বেছে নেওয়ার ব্যাপারে নিশ্চিত</v>
      </c>
      <c r="O152" s="4" t="str">
        <f>IFERROR(__xludf.DUMMYFUNCTION("GOOGLETRANSLATE(B152,""en"",""pt"")"),"Tem certeza de que quer escolher o passeio neste momento?")</f>
        <v>Tem certeza de que quer escolher o passeio neste momento?</v>
      </c>
    </row>
    <row r="153">
      <c r="A153" s="7" t="s">
        <v>449</v>
      </c>
      <c r="B153" s="3" t="s">
        <v>450</v>
      </c>
      <c r="C153" s="4" t="str">
        <f>IFERROR(__xludf.DUMMYFUNCTION("GOOGLETRANSLATE(B153,""en"",""hi"")"),"सवारी की सफलतापूर्वक पुष्टि हो गई है")</f>
        <v>सवारी की सफलतापूर्वक पुष्टि हो गई है</v>
      </c>
      <c r="D153" s="6" t="s">
        <v>451</v>
      </c>
      <c r="E153" s="4" t="str">
        <f>IFERROR(__xludf.DUMMYFUNCTION("GOOGLETRANSLATE(B153,""en"",""fr"")"),"Le trajet est confirmé avec succès")</f>
        <v>Le trajet est confirmé avec succès</v>
      </c>
      <c r="F153" s="4" t="str">
        <f>IFERROR(__xludf.DUMMYFUNCTION("GOOGLETRANSLATE(B153,""en"",""tr"")"),"Yolculuk başarıyla onaylandı")</f>
        <v>Yolculuk başarıyla onaylandı</v>
      </c>
      <c r="G153" s="4" t="str">
        <f>IFERROR(__xludf.DUMMYFUNCTION("GOOGLETRANSLATE(B153,""en"",""ru"")"),"Поездка успешно подтверждена")</f>
        <v>Поездка успешно подтверждена</v>
      </c>
      <c r="H153" s="4" t="str">
        <f>IFERROR(__xludf.DUMMYFUNCTION("GOOGLETRANSLATE(B153,""en"",""it"")"),"La corsa è stata confermata con successo")</f>
        <v>La corsa è stata confermata con successo</v>
      </c>
      <c r="I153" s="4" t="str">
        <f>IFERROR(__xludf.DUMMYFUNCTION("GOOGLETRANSLATE(B153,""en"",""de"")"),"Fahrt erfolgreich bestätigt")</f>
        <v>Fahrt erfolgreich bestätigt</v>
      </c>
      <c r="J153" s="4" t="str">
        <f>IFERROR(__xludf.DUMMYFUNCTION("GOOGLETRANSLATE(B153,""en"",""ko"")"),"탑승이 성공적으로 확인되었습니다")</f>
        <v>탑승이 성공적으로 확인되었습니다</v>
      </c>
      <c r="K153" s="4" t="str">
        <f>IFERROR(__xludf.DUMMYFUNCTION("GOOGLETRANSLATE(B153,""en"",""zh"")"),"行程确认成功")</f>
        <v>行程确认成功</v>
      </c>
      <c r="L153" s="4" t="str">
        <f>IFERROR(__xludf.DUMMYFUNCTION("GOOGLETRANSLATE(B153,""en"",""es"")"),"El viaje se confirmó con éxito")</f>
        <v>El viaje se confirmó con éxito</v>
      </c>
      <c r="M153" s="4" t="str">
        <f>IFERROR(__xludf.DUMMYFUNCTION("GOOGLETRANSLATE(B153,""en"",""iw"")"),"הנסיעה אושרה בהצלחה")</f>
        <v>הנסיעה אושרה בהצלחה</v>
      </c>
      <c r="N153" s="4" t="str">
        <f>IFERROR(__xludf.DUMMYFUNCTION("GOOGLETRANSLATE(B153,""en"",""bn"")"),"যাত্রা সফলভাবে নিশ্চিত করা হয়েছে")</f>
        <v>যাত্রা সফলভাবে নিশ্চিত করা হয়েছে</v>
      </c>
      <c r="O153" s="4" t="str">
        <f>IFERROR(__xludf.DUMMYFUNCTION("GOOGLETRANSLATE(B153,""en"",""pt"")"),"O passeio foi confirmado com sucesso")</f>
        <v>O passeio foi confirmado com sucesso</v>
      </c>
    </row>
    <row r="154">
      <c r="A154" s="7" t="s">
        <v>452</v>
      </c>
      <c r="B154" s="3" t="s">
        <v>453</v>
      </c>
      <c r="C154" s="4" t="str">
        <f>IFERROR(__xludf.DUMMYFUNCTION("GOOGLETRANSLATE(B154,""en"",""hi"")"),"पसंदीदा के रूप में सहेजें")</f>
        <v>पसंदीदा के रूप में सहेजें</v>
      </c>
      <c r="D154" s="6" t="s">
        <v>454</v>
      </c>
      <c r="E154" s="4" t="str">
        <f>IFERROR(__xludf.DUMMYFUNCTION("GOOGLETRANSLATE(B154,""en"",""fr"")"),"Enregistrer comme favori")</f>
        <v>Enregistrer comme favori</v>
      </c>
      <c r="F154" s="4" t="str">
        <f>IFERROR(__xludf.DUMMYFUNCTION("GOOGLETRANSLATE(B154,""en"",""tr"")"),"Favorilere Kaydet")</f>
        <v>Favorilere Kaydet</v>
      </c>
      <c r="G154" s="4" t="str">
        <f>IFERROR(__xludf.DUMMYFUNCTION("GOOGLETRANSLATE(B154,""en"",""ru"")"),"Сохранить как избранное")</f>
        <v>Сохранить как избранное</v>
      </c>
      <c r="H154" s="4" t="str">
        <f>IFERROR(__xludf.DUMMYFUNCTION("GOOGLETRANSLATE(B154,""en"",""it"")"),"Salva come preferito")</f>
        <v>Salva come preferito</v>
      </c>
      <c r="I154" s="4" t="str">
        <f>IFERROR(__xludf.DUMMYFUNCTION("GOOGLETRANSLATE(B154,""en"",""de"")"),"Als Favorit speichern")</f>
        <v>Als Favorit speichern</v>
      </c>
      <c r="J154" s="4" t="str">
        <f>IFERROR(__xludf.DUMMYFUNCTION("GOOGLETRANSLATE(B154,""en"",""ko"")"),"즐겨찾기로 저장")</f>
        <v>즐겨찾기로 저장</v>
      </c>
      <c r="K154" s="4" t="str">
        <f>IFERROR(__xludf.DUMMYFUNCTION("GOOGLETRANSLATE(B154,""en"",""zh"")"),"保存为收藏夹")</f>
        <v>保存为收藏夹</v>
      </c>
      <c r="L154" s="4" t="str">
        <f>IFERROR(__xludf.DUMMYFUNCTION("GOOGLETRANSLATE(B154,""en"",""es"")"),"Guardar como favorito")</f>
        <v>Guardar como favorito</v>
      </c>
      <c r="M154" s="4" t="str">
        <f>IFERROR(__xludf.DUMMYFUNCTION("GOOGLETRANSLATE(B154,""en"",""iw"")"),"שמור כמועדף")</f>
        <v>שמור כמועדף</v>
      </c>
      <c r="N154" s="4" t="str">
        <f>IFERROR(__xludf.DUMMYFUNCTION("GOOGLETRANSLATE(B154,""en"",""bn"")"),"প্রিয় হিসাবে সংরক্ষণ করুন")</f>
        <v>প্রিয় হিসাবে সংরক্ষণ করুন</v>
      </c>
      <c r="O154" s="4" t="str">
        <f>IFERROR(__xludf.DUMMYFUNCTION("GOOGLETRANSLATE(B154,""en"",""pt"")"),"Salvar como favorito")</f>
        <v>Salvar como favorito</v>
      </c>
    </row>
    <row r="155">
      <c r="A155" s="7" t="s">
        <v>455</v>
      </c>
      <c r="B155" s="3" t="s">
        <v>456</v>
      </c>
      <c r="C155" s="4" t="str">
        <f>IFERROR(__xludf.DUMMYFUNCTION("GOOGLETRANSLATE(B155,""en"",""hi"")"),"सबसे भरोसेमंद राइड बुकिंग ऐप")</f>
        <v>सबसे भरोसेमंद राइड बुकिंग ऐप</v>
      </c>
      <c r="D155" s="6" t="s">
        <v>457</v>
      </c>
      <c r="E155" s="4" t="str">
        <f>IFERROR(__xludf.DUMMYFUNCTION("GOOGLETRANSLATE(B155,""en"",""fr"")"),"L'application de réservation de courses la plus fiable")</f>
        <v>L'application de réservation de courses la plus fiable</v>
      </c>
      <c r="F155" s="4" t="str">
        <f>IFERROR(__xludf.DUMMYFUNCTION("GOOGLETRANSLATE(B155,""en"",""tr"")"),"En Güvenilir Yolculuk Rezervasyon Uygulaması")</f>
        <v>En Güvenilir Yolculuk Rezervasyon Uygulaması</v>
      </c>
      <c r="G155" s="4" t="str">
        <f>IFERROR(__xludf.DUMMYFUNCTION("GOOGLETRANSLATE(B155,""en"",""ru"")"),"Самое надежное приложение для бронирования поездок")</f>
        <v>Самое надежное приложение для бронирования поездок</v>
      </c>
      <c r="H155" s="4" t="str">
        <f>IFERROR(__xludf.DUMMYFUNCTION("GOOGLETRANSLATE(B155,""en"",""it"")"),"L'app di prenotazione viaggi più affidabile")</f>
        <v>L'app di prenotazione viaggi più affidabile</v>
      </c>
      <c r="I155" s="4" t="str">
        <f>IFERROR(__xludf.DUMMYFUNCTION("GOOGLETRANSLATE(B155,""en"",""de"")"),"Die vertrauenswürdigste App zur Fahrtbuchung")</f>
        <v>Die vertrauenswürdigste App zur Fahrtbuchung</v>
      </c>
      <c r="J155" s="4" t="str">
        <f>IFERROR(__xludf.DUMMYFUNCTION("GOOGLETRANSLATE(B155,""en"",""ko"")"),"가장 신뢰받는 승차 예약 앱")</f>
        <v>가장 신뢰받는 승차 예약 앱</v>
      </c>
      <c r="K155" s="4" t="str">
        <f>IFERROR(__xludf.DUMMYFUNCTION("GOOGLETRANSLATE(B155,""en"",""zh"")"),"最值得信赖的乘车预订应用程序")</f>
        <v>最值得信赖的乘车预订应用程序</v>
      </c>
      <c r="L155" s="4" t="str">
        <f>IFERROR(__xludf.DUMMYFUNCTION("GOOGLETRANSLATE(B155,""en"",""es"")"),"La aplicación de reserva de viajes más confiable")</f>
        <v>La aplicación de reserva de viajes más confiable</v>
      </c>
      <c r="M155" s="4" t="str">
        <f>IFERROR(__xludf.DUMMYFUNCTION("GOOGLETRANSLATE(B155,""en"",""iw"")"),"אפליקציית הזמנת נסיעות מהימנה ביותר")</f>
        <v>אפליקציית הזמנת נסיעות מהימנה ביותר</v>
      </c>
      <c r="N155" s="4" t="str">
        <f>IFERROR(__xludf.DUMMYFUNCTION("GOOGLETRANSLATE(B155,""en"",""bn"")"),"সবচেয়ে বিশ্বস্ত রাইড বুকিং অ্যাপ")</f>
        <v>সবচেয়ে বিশ্বস্ত রাইড বুকিং অ্যাপ</v>
      </c>
      <c r="O155" s="4" t="str">
        <f>IFERROR(__xludf.DUMMYFUNCTION("GOOGLETRANSLATE(B155,""en"",""pt"")"),"Aplicativo de reserva de viagens mais confiável")</f>
        <v>Aplicativo de reserva de viagens mais confiável</v>
      </c>
    </row>
    <row r="156">
      <c r="A156" s="7" t="s">
        <v>458</v>
      </c>
      <c r="B156" s="3" t="s">
        <v>459</v>
      </c>
      <c r="C156" s="4" t="str">
        <f>IFERROR(__xludf.DUMMYFUNCTION("GOOGLETRANSLATE(B156,""en"",""hi"")"),"अपनी सवारी के अनुभव का आनंद लेने के लिए")</f>
        <v>अपनी सवारी के अनुभव का आनंद लेने के लिए</v>
      </c>
      <c r="D156" s="6" t="s">
        <v>460</v>
      </c>
      <c r="E156" s="4" t="str">
        <f>IFERROR(__xludf.DUMMYFUNCTION("GOOGLETRANSLATE(B156,""en"",""fr"")"),"Pour profiter de votre expérience de conduite")</f>
        <v>Pour profiter de votre expérience de conduite</v>
      </c>
      <c r="F156" s="4" t="str">
        <f>IFERROR(__xludf.DUMMYFUNCTION("GOOGLETRANSLATE(B156,""en"",""tr"")"),"Sürüş deneyiminizin keyfini çıkarmak için")</f>
        <v>Sürüş deneyiminizin keyfini çıkarmak için</v>
      </c>
      <c r="G156" s="4" t="str">
        <f>IFERROR(__xludf.DUMMYFUNCTION("GOOGLETRANSLATE(B156,""en"",""ru"")"),"Чтобы получить удовольствие от поездки")</f>
        <v>Чтобы получить удовольствие от поездки</v>
      </c>
      <c r="H156" s="4" t="str">
        <f>IFERROR(__xludf.DUMMYFUNCTION("GOOGLETRANSLATE(B156,""en"",""it"")"),"Per goderti la tua esperienza di guida")</f>
        <v>Per goderti la tua esperienza di guida</v>
      </c>
      <c r="I156" s="4" t="str">
        <f>IFERROR(__xludf.DUMMYFUNCTION("GOOGLETRANSLATE(B156,""en"",""de"")"),"Damit Sie Ihr Fahrerlebnis genießen können")</f>
        <v>Damit Sie Ihr Fahrerlebnis genießen können</v>
      </c>
      <c r="J156" s="4" t="str">
        <f>IFERROR(__xludf.DUMMYFUNCTION("GOOGLETRANSLATE(B156,""en"",""ko"")"),"라이딩 경험을 즐기려면")</f>
        <v>라이딩 경험을 즐기려면</v>
      </c>
      <c r="K156" s="4" t="str">
        <f>IFERROR(__xludf.DUMMYFUNCTION("GOOGLETRANSLATE(B156,""en"",""zh"")"),"享受您的骑行体验")</f>
        <v>享受您的骑行体验</v>
      </c>
      <c r="L156" s="4" t="str">
        <f>IFERROR(__xludf.DUMMYFUNCTION("GOOGLETRANSLATE(B156,""en"",""es"")"),"Para disfrutar de tu experiencia de viaje")</f>
        <v>Para disfrutar de tu experiencia de viaje</v>
      </c>
      <c r="M156" s="4" t="str">
        <f>IFERROR(__xludf.DUMMYFUNCTION("GOOGLETRANSLATE(B156,""en"",""iw"")"),"כדי ליהנות מחוויית הנסיעה שלך")</f>
        <v>כדי ליהנות מחוויית הנסיעה שלך</v>
      </c>
      <c r="N156" s="4" t="str">
        <f>IFERROR(__xludf.DUMMYFUNCTION("GOOGLETRANSLATE(B156,""en"",""bn"")"),"আপনার রাইড অভিজ্ঞতা উপভোগ করতে")</f>
        <v>আপনার রাইড অভিজ্ঞতা উপভোগ করতে</v>
      </c>
      <c r="O156" s="4" t="str">
        <f>IFERROR(__xludf.DUMMYFUNCTION("GOOGLETRANSLATE(B156,""en"",""pt"")"),"Para aproveitar sua experiência de passeio")</f>
        <v>Para aproveitar sua experiência de passeio</v>
      </c>
    </row>
    <row r="157">
      <c r="A157" s="7" t="s">
        <v>461</v>
      </c>
      <c r="B157" s="3" t="s">
        <v>462</v>
      </c>
      <c r="C157" s="4" t="str">
        <f>IFERROR(__xludf.DUMMYFUNCTION("GOOGLETRANSLATE(B157,""en"",""hi"")"),"कृपया हमें निम्नलिखित अनुमतियाँ दें")</f>
        <v>कृपया हमें निम्नलिखित अनुमतियाँ दें</v>
      </c>
      <c r="D157" s="6" t="s">
        <v>463</v>
      </c>
      <c r="E157" s="4" t="str">
        <f>IFERROR(__xludf.DUMMYFUNCTION("GOOGLETRANSLATE(B157,""en"",""fr"")"),"Veuillez nous accorder les autorisations suivantes")</f>
        <v>Veuillez nous accorder les autorisations suivantes</v>
      </c>
      <c r="F157" s="4" t="str">
        <f>IFERROR(__xludf.DUMMYFUNCTION("GOOGLETRANSLATE(B157,""en"",""tr"")"),"Lütfen bize aşağıdaki izinleri verin")</f>
        <v>Lütfen bize aşağıdaki izinleri verin</v>
      </c>
      <c r="G157" s="4" t="str">
        <f>IFERROR(__xludf.DUMMYFUNCTION("GOOGLETRANSLATE(B157,""en"",""ru"")"),"Пожалуйста, предоставьте нам следующие разрешения")</f>
        <v>Пожалуйста, предоставьте нам следующие разрешения</v>
      </c>
      <c r="H157" s="4" t="str">
        <f>IFERROR(__xludf.DUMMYFUNCTION("GOOGLETRANSLATE(B157,""en"",""it"")"),"Vi preghiamo di concederci le seguenti autorizzazioni")</f>
        <v>Vi preghiamo di concederci le seguenti autorizzazioni</v>
      </c>
      <c r="I157" s="4" t="str">
        <f>IFERROR(__xludf.DUMMYFUNCTION("GOOGLETRANSLATE(B157,""en"",""de"")"),"Bitte erteilen Sie uns die folgenden Berechtigungen")</f>
        <v>Bitte erteilen Sie uns die folgenden Berechtigungen</v>
      </c>
      <c r="J157" s="4" t="str">
        <f>IFERROR(__xludf.DUMMYFUNCTION("GOOGLETRANSLATE(B157,""en"",""ko"")"),"다음 권한을 허용해 주세요.")</f>
        <v>다음 권한을 허용해 주세요.</v>
      </c>
      <c r="K157" s="4" t="str">
        <f>IFERROR(__xludf.DUMMYFUNCTION("GOOGLETRANSLATE(B157,""en"",""zh"")"),"请允许我们以下权限")</f>
        <v>请允许我们以下权限</v>
      </c>
      <c r="L157" s="4" t="str">
        <f>IFERROR(__xludf.DUMMYFUNCTION("GOOGLETRANSLATE(B157,""en"",""es"")"),"Por favor, permítanos los siguientes permisos")</f>
        <v>Por favor, permítanos los siguientes permisos</v>
      </c>
      <c r="M157" s="4" t="str">
        <f>IFERROR(__xludf.DUMMYFUNCTION("GOOGLETRANSLATE(B157,""en"",""iw"")"),"אנא הרשה לנו את ההרשאות הבאות")</f>
        <v>אנא הרשה לנו את ההרשאות הבאות</v>
      </c>
      <c r="N157" s="4" t="str">
        <f>IFERROR(__xludf.DUMMYFUNCTION("GOOGLETRANSLATE(B157,""en"",""bn"")"),"আমাদের নিম্নলিখিত অনুমতি অনুমতি দিন")</f>
        <v>আমাদের নিম্নলিখিত অনুমতি অনুমতি দিন</v>
      </c>
      <c r="O157" s="4" t="str">
        <f>IFERROR(__xludf.DUMMYFUNCTION("GOOGLETRANSLATE(B157,""en"",""pt"")"),"Por favor, conceda-nos as seguintes permissões")</f>
        <v>Por favor, conceda-nos as seguintes permissões</v>
      </c>
    </row>
    <row r="158">
      <c r="A158" s="7" t="s">
        <v>464</v>
      </c>
      <c r="B158" s="3" t="s">
        <v>465</v>
      </c>
      <c r="C158" s="4" t="str">
        <f>IFERROR(__xludf.DUMMYFUNCTION("GOOGLETRANSLATE(B158,""en"",""hi"")"),"अनुमति दें")</f>
        <v>अनुमति दें</v>
      </c>
      <c r="D158" s="4" t="str">
        <f>IFERROR(__xludf.DUMMYFUNCTION("GOOGLETRANSLATE(B158,""en"",""ar"")"),"يسمح")</f>
        <v>يسمح</v>
      </c>
      <c r="E158" s="4" t="str">
        <f>IFERROR(__xludf.DUMMYFUNCTION("GOOGLETRANSLATE(B158,""en"",""fr"")"),"Permettre")</f>
        <v>Permettre</v>
      </c>
      <c r="F158" s="4" t="str">
        <f>IFERROR(__xludf.DUMMYFUNCTION("GOOGLETRANSLATE(B158,""en"",""tr"")"),"İzin vermek")</f>
        <v>İzin vermek</v>
      </c>
      <c r="G158" s="4" t="str">
        <f>IFERROR(__xludf.DUMMYFUNCTION("GOOGLETRANSLATE(B158,""en"",""ru"")"),"Позволять")</f>
        <v>Позволять</v>
      </c>
      <c r="H158" s="4" t="str">
        <f>IFERROR(__xludf.DUMMYFUNCTION("GOOGLETRANSLATE(B158,""en"",""it"")"),"Permettere")</f>
        <v>Permettere</v>
      </c>
      <c r="I158" s="4" t="str">
        <f>IFERROR(__xludf.DUMMYFUNCTION("GOOGLETRANSLATE(B158,""en"",""de"")"),"Erlauben")</f>
        <v>Erlauben</v>
      </c>
      <c r="J158" s="4" t="str">
        <f>IFERROR(__xludf.DUMMYFUNCTION("GOOGLETRANSLATE(B158,""en"",""ko"")"),"허용하다")</f>
        <v>허용하다</v>
      </c>
      <c r="K158" s="4" t="str">
        <f>IFERROR(__xludf.DUMMYFUNCTION("GOOGLETRANSLATE(B158,""en"",""zh"")"),"允许")</f>
        <v>允许</v>
      </c>
      <c r="L158" s="4" t="str">
        <f>IFERROR(__xludf.DUMMYFUNCTION("GOOGLETRANSLATE(B158,""en"",""es"")"),"Permitir")</f>
        <v>Permitir</v>
      </c>
      <c r="M158" s="4" t="str">
        <f>IFERROR(__xludf.DUMMYFUNCTION("GOOGLETRANSLATE(B158,""en"",""iw"")"),"לְהַתִיר")</f>
        <v>לְהַתִיר</v>
      </c>
      <c r="N158" s="4" t="str">
        <f>IFERROR(__xludf.DUMMYFUNCTION("GOOGLETRANSLATE(B158,""en"",""bn"")"),"অনুমতি দিন")</f>
        <v>অনুমতি দিন</v>
      </c>
      <c r="O158" s="4" t="str">
        <f>IFERROR(__xludf.DUMMYFUNCTION("GOOGLETRANSLATE(B158,""en"",""pt"")"),"Permitir")</f>
        <v>Permitir</v>
      </c>
    </row>
    <row r="159">
      <c r="A159" s="7" t="s">
        <v>466</v>
      </c>
      <c r="B159" s="3" t="s">
        <v>467</v>
      </c>
      <c r="C159" s="4" t="str">
        <f>IFERROR(__xludf.DUMMYFUNCTION("GOOGLETRANSLATE(B159,""en"",""hi"")"),"ड्राइवर द्वारा यात्रा रद्द कर दी गई")</f>
        <v>ड्राइवर द्वारा यात्रा रद्द कर दी गई</v>
      </c>
      <c r="D159" s="6" t="s">
        <v>468</v>
      </c>
      <c r="E159" s="4" t="str">
        <f>IFERROR(__xludf.DUMMYFUNCTION("GOOGLETRANSLATE(B159,""en"",""fr"")"),"Course annulée par le chauffeur")</f>
        <v>Course annulée par le chauffeur</v>
      </c>
      <c r="F159" s="4" t="str">
        <f>IFERROR(__xludf.DUMMYFUNCTION("GOOGLETRANSLATE(B159,""en"",""tr"")"),"Sürücü Tarafından Yolculuk İptal Edildi")</f>
        <v>Sürücü Tarafından Yolculuk İptal Edildi</v>
      </c>
      <c r="G159" s="4" t="str">
        <f>IFERROR(__xludf.DUMMYFUNCTION("GOOGLETRANSLATE(B159,""en"",""ru"")"),"Поездка отменена водителем")</f>
        <v>Поездка отменена водителем</v>
      </c>
      <c r="H159" s="4" t="str">
        <f>IFERROR(__xludf.DUMMYFUNCTION("GOOGLETRANSLATE(B159,""en"",""it"")"),"Corsa annullata dall'autista")</f>
        <v>Corsa annullata dall'autista</v>
      </c>
      <c r="I159" s="4" t="str">
        <f>IFERROR(__xludf.DUMMYFUNCTION("GOOGLETRANSLATE(B159,""en"",""de"")"),"Fahrt vom Fahrer abgesagt")</f>
        <v>Fahrt vom Fahrer abgesagt</v>
      </c>
      <c r="J159" s="4" t="str">
        <f>IFERROR(__xludf.DUMMYFUNCTION("GOOGLETRANSLATE(B159,""en"",""ko"")"),"운전자가 승차를 취소했습니다")</f>
        <v>운전자가 승차를 취소했습니다</v>
      </c>
      <c r="K159" s="4" t="str">
        <f>IFERROR(__xludf.DUMMYFUNCTION("GOOGLETRANSLATE(B159,""en"",""zh"")"),"司机取消行程")</f>
        <v>司机取消行程</v>
      </c>
      <c r="L159" s="4" t="str">
        <f>IFERROR(__xludf.DUMMYFUNCTION("GOOGLETRANSLATE(B159,""en"",""es"")"),"Viaje cancelado por el conductor")</f>
        <v>Viaje cancelado por el conductor</v>
      </c>
      <c r="M159" s="4" t="str">
        <f>IFERROR(__xludf.DUMMYFUNCTION("GOOGLETRANSLATE(B159,""en"",""iw"")"),"הנסיעה בוטלה על ידי הנהג")</f>
        <v>הנסיעה בוטלה על ידי הנהג</v>
      </c>
      <c r="N159" s="4" t="str">
        <f>IFERROR(__xludf.DUMMYFUNCTION("GOOGLETRANSLATE(B159,""en"",""bn"")"),"রাইড বাতিল করেছে ড্রাইভার")</f>
        <v>রাইড বাতিল করেছে ড্রাইভার</v>
      </c>
      <c r="O159" s="4" t="str">
        <f>IFERROR(__xludf.DUMMYFUNCTION("GOOGLETRANSLATE(B159,""en"",""pt"")"),"Viagem cancelada pelo motorista")</f>
        <v>Viagem cancelada pelo motorista</v>
      </c>
    </row>
    <row r="160">
      <c r="A160" s="7" t="s">
        <v>469</v>
      </c>
      <c r="B160" s="3" t="s">
        <v>470</v>
      </c>
      <c r="C160" s="4" t="str">
        <f>IFERROR(__xludf.DUMMYFUNCTION("GOOGLETRANSLATE(B160,""en"",""hi"")"),"सवारी सफलतापूर्वक रद्द कर दी गई")</f>
        <v>सवारी सफलतापूर्वक रद्द कर दी गई</v>
      </c>
      <c r="D160" s="6" t="s">
        <v>471</v>
      </c>
      <c r="E160" s="4" t="str">
        <f>IFERROR(__xludf.DUMMYFUNCTION("GOOGLETRANSLATE(B160,""en"",""fr"")"),"Course annulée avec succès")</f>
        <v>Course annulée avec succès</v>
      </c>
      <c r="F160" s="4" t="str">
        <f>IFERROR(__xludf.DUMMYFUNCTION("GOOGLETRANSLATE(B160,""en"",""tr"")"),"Yolculuk Başarıyla İptal Edildi")</f>
        <v>Yolculuk Başarıyla İptal Edildi</v>
      </c>
      <c r="G160" s="4" t="str">
        <f>IFERROR(__xludf.DUMMYFUNCTION("GOOGLETRANSLATE(B160,""en"",""ru"")"),"Поездка успешно отменена")</f>
        <v>Поездка успешно отменена</v>
      </c>
      <c r="H160" s="4" t="str">
        <f>IFERROR(__xludf.DUMMYFUNCTION("GOOGLETRANSLATE(B160,""en"",""it"")"),"Corsa annullata con successo")</f>
        <v>Corsa annullata con successo</v>
      </c>
      <c r="I160" s="4" t="str">
        <f>IFERROR(__xludf.DUMMYFUNCTION("GOOGLETRANSLATE(B160,""en"",""de"")"),"Fahrt erfolgreich storniert")</f>
        <v>Fahrt erfolgreich storniert</v>
      </c>
      <c r="J160" s="4" t="str">
        <f>IFERROR(__xludf.DUMMYFUNCTION("GOOGLETRANSLATE(B160,""en"",""ko"")"),"탑승이 성공적으로 취소되었습니다")</f>
        <v>탑승이 성공적으로 취소되었습니다</v>
      </c>
      <c r="K160" s="4" t="str">
        <f>IFERROR(__xludf.DUMMYFUNCTION("GOOGLETRANSLATE(B160,""en"",""zh"")"),"行程已成功取消")</f>
        <v>行程已成功取消</v>
      </c>
      <c r="L160" s="4" t="str">
        <f>IFERROR(__xludf.DUMMYFUNCTION("GOOGLETRANSLATE(B160,""en"",""es"")"),"Viaje cancelado exitosamente")</f>
        <v>Viaje cancelado exitosamente</v>
      </c>
      <c r="M160" s="4" t="str">
        <f>IFERROR(__xludf.DUMMYFUNCTION("GOOGLETRANSLATE(B160,""en"",""iw"")"),"הנסיעה בוטלה בהצלחה")</f>
        <v>הנסיעה בוטלה בהצלחה</v>
      </c>
      <c r="N160" s="4" t="str">
        <f>IFERROR(__xludf.DUMMYFUNCTION("GOOGLETRANSLATE(B160,""en"",""bn"")"),"রাইড সফলভাবে বাতিল করা হয়েছে")</f>
        <v>রাইড সফলভাবে বাতিল করা হয়েছে</v>
      </c>
      <c r="O160" s="4" t="str">
        <f>IFERROR(__xludf.DUMMYFUNCTION("GOOGLETRANSLATE(B160,""en"",""pt"")"),"Viagem cancelada com sucesso")</f>
        <v>Viagem cancelada com sucesso</v>
      </c>
    </row>
    <row r="161">
      <c r="A161" s="7" t="s">
        <v>472</v>
      </c>
      <c r="B161" s="3" t="s">
        <v>473</v>
      </c>
      <c r="C161" s="4" t="str">
        <f>IFERROR(__xludf.DUMMYFUNCTION("GOOGLETRANSLATE(B161,""en"",""hi"")"),"व्यवस्थापक को सूचित करें")</f>
        <v>व्यवस्थापक को सूचित करें</v>
      </c>
      <c r="D161" s="6" t="s">
        <v>474</v>
      </c>
      <c r="E161" s="4" t="str">
        <f>IFERROR(__xludf.DUMMYFUNCTION("GOOGLETRANSLATE(B161,""en"",""fr"")"),"Notifier l'administrateur")</f>
        <v>Notifier l'administrateur</v>
      </c>
      <c r="F161" s="4" t="str">
        <f>IFERROR(__xludf.DUMMYFUNCTION("GOOGLETRANSLATE(B161,""en"",""tr"")"),"Yöneticiye Bildir")</f>
        <v>Yöneticiye Bildir</v>
      </c>
      <c r="G161" s="4" t="str">
        <f>IFERROR(__xludf.DUMMYFUNCTION("GOOGLETRANSLATE(B161,""en"",""ru"")"),"Уведомить администратора")</f>
        <v>Уведомить администратора</v>
      </c>
      <c r="H161" s="4" t="str">
        <f>IFERROR(__xludf.DUMMYFUNCTION("GOOGLETRANSLATE(B161,""en"",""it"")"),"Notifica amministratore")</f>
        <v>Notifica amministratore</v>
      </c>
      <c r="I161" s="4" t="str">
        <f>IFERROR(__xludf.DUMMYFUNCTION("GOOGLETRANSLATE(B161,""en"",""de"")"),"Administrator benachrichtigen")</f>
        <v>Administrator benachrichtigen</v>
      </c>
      <c r="J161" s="4" t="str">
        <f>IFERROR(__xludf.DUMMYFUNCTION("GOOGLETRANSLATE(B161,""en"",""ko"")"),"관리자에게 알림")</f>
        <v>관리자에게 알림</v>
      </c>
      <c r="K161" s="4" t="str">
        <f>IFERROR(__xludf.DUMMYFUNCTION("GOOGLETRANSLATE(B161,""en"",""zh"")"),"通知管理员")</f>
        <v>通知管理员</v>
      </c>
      <c r="L161" s="4" t="str">
        <f>IFERROR(__xludf.DUMMYFUNCTION("GOOGLETRANSLATE(B161,""en"",""es"")"),"Notificar al administrador")</f>
        <v>Notificar al administrador</v>
      </c>
      <c r="M161" s="4" t="str">
        <f>IFERROR(__xludf.DUMMYFUNCTION("GOOGLETRANSLATE(B161,""en"",""iw"")"),"הודע למנהל המערכת")</f>
        <v>הודע למנהל המערכת</v>
      </c>
      <c r="N161" s="4" t="str">
        <f>IFERROR(__xludf.DUMMYFUNCTION("GOOGLETRANSLATE(B161,""en"",""bn"")"),"অ্যাডমিনকে অবহিত করুন")</f>
        <v>অ্যাডমিনকে অবহিত করুন</v>
      </c>
      <c r="O161" s="4" t="str">
        <f>IFERROR(__xludf.DUMMYFUNCTION("GOOGLETRANSLATE(B161,""en"",""pt"")"),"Notificar administrador")</f>
        <v>Notificar administrador</v>
      </c>
    </row>
    <row r="162">
      <c r="A162" s="7" t="s">
        <v>475</v>
      </c>
      <c r="B162" s="3" t="s">
        <v>476</v>
      </c>
      <c r="C162" s="4" t="str">
        <f>IFERROR(__xludf.DUMMYFUNCTION("GOOGLETRANSLATE(B162,""en"",""hi"")"),"सफलतापूर्वक अधिसूचित")</f>
        <v>सफलतापूर्वक अधिसूचित</v>
      </c>
      <c r="D162" s="6" t="s">
        <v>477</v>
      </c>
      <c r="E162" s="4" t="str">
        <f>IFERROR(__xludf.DUMMYFUNCTION("GOOGLETRANSLATE(B162,""en"",""fr"")"),"Notifié avec succès")</f>
        <v>Notifié avec succès</v>
      </c>
      <c r="F162" s="4" t="str">
        <f>IFERROR(__xludf.DUMMYFUNCTION("GOOGLETRANSLATE(B162,""en"",""tr"")"),"Başarıyla Bildirildi")</f>
        <v>Başarıyla Bildirildi</v>
      </c>
      <c r="G162" s="4" t="str">
        <f>IFERROR(__xludf.DUMMYFUNCTION("GOOGLETRANSLATE(B162,""en"",""ru"")"),"Уведомлен успешно")</f>
        <v>Уведомлен успешно</v>
      </c>
      <c r="H162" s="4" t="str">
        <f>IFERROR(__xludf.DUMMYFUNCTION("GOOGLETRANSLATE(B162,""en"",""it"")"),"Notificato con successo")</f>
        <v>Notificato con successo</v>
      </c>
      <c r="I162" s="4" t="str">
        <f>IFERROR(__xludf.DUMMYFUNCTION("GOOGLETRANSLATE(B162,""en"",""de"")"),"Erfolgreich benachrichtigt")</f>
        <v>Erfolgreich benachrichtigt</v>
      </c>
      <c r="J162" s="4" t="str">
        <f>IFERROR(__xludf.DUMMYFUNCTION("GOOGLETRANSLATE(B162,""en"",""ko"")"),"성공적으로 알림됨")</f>
        <v>성공적으로 알림됨</v>
      </c>
      <c r="K162" s="4" t="str">
        <f>IFERROR(__xludf.DUMMYFUNCTION("GOOGLETRANSLATE(B162,""en"",""zh"")"),"通知成功")</f>
        <v>通知成功</v>
      </c>
      <c r="L162" s="4" t="str">
        <f>IFERROR(__xludf.DUMMYFUNCTION("GOOGLETRANSLATE(B162,""en"",""es"")"),"Notificado exitosamente")</f>
        <v>Notificado exitosamente</v>
      </c>
      <c r="M162" s="4" t="str">
        <f>IFERROR(__xludf.DUMMYFUNCTION("GOOGLETRANSLATE(B162,""en"",""iw"")"),"הודיעו בהצלחה")</f>
        <v>הודיעו בהצלחה</v>
      </c>
      <c r="N162" s="4" t="str">
        <f>IFERROR(__xludf.DUMMYFUNCTION("GOOGLETRANSLATE(B162,""en"",""bn"")"),"সফলভাবে বিজ্ঞপ্তি দেওয়া হয়েছে")</f>
        <v>সফলভাবে বিজ্ঞপ্তি দেওয়া হয়েছে</v>
      </c>
      <c r="O162" s="4" t="str">
        <f>IFERROR(__xludf.DUMMYFUNCTION("GOOGLETRANSLATE(B162,""en"",""pt"")"),"Notificado com sucesso")</f>
        <v>Notificado com sucesso</v>
      </c>
    </row>
    <row r="163">
      <c r="A163" s="7" t="s">
        <v>478</v>
      </c>
      <c r="B163" s="9" t="s">
        <v>479</v>
      </c>
      <c r="C163" s="4" t="str">
        <f>IFERROR(__xludf.DUMMYFUNCTION("GOOGLETRANSLATE(B163,""en"",""hi"")"),"साथ बात")</f>
        <v>साथ बात</v>
      </c>
      <c r="D163" s="6" t="s">
        <v>480</v>
      </c>
      <c r="E163" s="4" t="str">
        <f>IFERROR(__xludf.DUMMYFUNCTION("GOOGLETRANSLATE(B163,""en"",""fr"")"),"Discuter avec")</f>
        <v>Discuter avec</v>
      </c>
      <c r="F163" s="4" t="str">
        <f>IFERROR(__xludf.DUMMYFUNCTION("GOOGLETRANSLATE(B163,""en"",""tr"")"),"Sohbet Et")</f>
        <v>Sohbet Et</v>
      </c>
      <c r="G163" s="4" t="str">
        <f>IFERROR(__xludf.DUMMYFUNCTION("GOOGLETRANSLATE(B163,""en"",""ru"")"),"Чат с")</f>
        <v>Чат с</v>
      </c>
      <c r="H163" s="4" t="str">
        <f>IFERROR(__xludf.DUMMYFUNCTION("GOOGLETRANSLATE(B163,""en"",""it"")"),"Chatta con")</f>
        <v>Chatta con</v>
      </c>
      <c r="I163" s="4" t="str">
        <f>IFERROR(__xludf.DUMMYFUNCTION("GOOGLETRANSLATE(B163,""en"",""de"")"),"Chatten mit")</f>
        <v>Chatten mit</v>
      </c>
      <c r="J163" s="4" t="str">
        <f>IFERROR(__xludf.DUMMYFUNCTION("GOOGLETRANSLATE(B163,""en"",""ko"")"),"채팅하기")</f>
        <v>채팅하기</v>
      </c>
      <c r="K163" s="4" t="str">
        <f>IFERROR(__xludf.DUMMYFUNCTION("GOOGLETRANSLATE(B163,""en"",""zh"")"),"聊天")</f>
        <v>聊天</v>
      </c>
      <c r="L163" s="4" t="str">
        <f>IFERROR(__xludf.DUMMYFUNCTION("GOOGLETRANSLATE(B163,""en"",""es"")"),"Chatear con")</f>
        <v>Chatear con</v>
      </c>
      <c r="M163" s="4" t="str">
        <f>IFERROR(__xludf.DUMMYFUNCTION("GOOGLETRANSLATE(B163,""en"",""iw"")"),"צ'אט עם")</f>
        <v>צ'אט עם</v>
      </c>
      <c r="N163" s="4" t="str">
        <f>IFERROR(__xludf.DUMMYFUNCTION("GOOGLETRANSLATE(B163,""en"",""bn"")"),"সাথে চ্যাট করুন")</f>
        <v>সাথে চ্যাট করুন</v>
      </c>
      <c r="O163" s="4" t="str">
        <f>IFERROR(__xludf.DUMMYFUNCTION("GOOGLETRANSLATE(B163,""en"",""pt"")"),"Bate-papo com")</f>
        <v>Bate-papo com</v>
      </c>
    </row>
    <row r="164">
      <c r="A164" s="7" t="s">
        <v>481</v>
      </c>
      <c r="B164" s="9" t="s">
        <v>482</v>
      </c>
      <c r="C164" s="4" t="str">
        <f>IFERROR(__xludf.DUMMYFUNCTION("GOOGLETRANSLATE(B164,""en"",""hi"")"),"संदेश दर्ज करें")</f>
        <v>संदेश दर्ज करें</v>
      </c>
      <c r="D164" s="6" t="s">
        <v>483</v>
      </c>
      <c r="E164" s="4" t="str">
        <f>IFERROR(__xludf.DUMMYFUNCTION("GOOGLETRANSLATE(B164,""en"",""fr"")"),"Entrez un message")</f>
        <v>Entrez un message</v>
      </c>
      <c r="F164" s="4" t="str">
        <f>IFERROR(__xludf.DUMMYFUNCTION("GOOGLETRANSLATE(B164,""en"",""tr"")"),"Mesaj Girin")</f>
        <v>Mesaj Girin</v>
      </c>
      <c r="G164" s="4" t="str">
        <f>IFERROR(__xludf.DUMMYFUNCTION("GOOGLETRANSLATE(B164,""en"",""ru"")"),"Введите сообщение")</f>
        <v>Введите сообщение</v>
      </c>
      <c r="H164" s="4" t="str">
        <f>IFERROR(__xludf.DUMMYFUNCTION("GOOGLETRANSLATE(B164,""en"",""it"")"),"Inserisci messaggio")</f>
        <v>Inserisci messaggio</v>
      </c>
      <c r="I164" s="4" t="str">
        <f>IFERROR(__xludf.DUMMYFUNCTION("GOOGLETRANSLATE(B164,""en"",""de"")"),"Nachricht eingeben")</f>
        <v>Nachricht eingeben</v>
      </c>
      <c r="J164" s="4" t="str">
        <f>IFERROR(__xludf.DUMMYFUNCTION("GOOGLETRANSLATE(B164,""en"",""ko"")"),"메시지 입력")</f>
        <v>메시지 입력</v>
      </c>
      <c r="K164" s="4" t="str">
        <f>IFERROR(__xludf.DUMMYFUNCTION("GOOGLETRANSLATE(B164,""en"",""zh"")"),"输入消息")</f>
        <v>输入消息</v>
      </c>
      <c r="L164" s="4" t="str">
        <f>IFERROR(__xludf.DUMMYFUNCTION("GOOGLETRANSLATE(B164,""en"",""es"")"),"Introducir mensaje")</f>
        <v>Introducir mensaje</v>
      </c>
      <c r="M164" s="4" t="str">
        <f>IFERROR(__xludf.DUMMYFUNCTION("GOOGLETRANSLATE(B164,""en"",""iw"")"),"הזן הודעה")</f>
        <v>הזן הודעה</v>
      </c>
      <c r="N164" s="4" t="str">
        <f>IFERROR(__xludf.DUMMYFUNCTION("GOOGLETRANSLATE(B164,""en"",""bn"")"),"বার্তা লিখুন")</f>
        <v>বার্তা লিখুন</v>
      </c>
      <c r="O164" s="4" t="str">
        <f>IFERROR(__xludf.DUMMYFUNCTION("GOOGLETRANSLATE(B164,""en"",""pt"")"),"Digite a mensagem")</f>
        <v>Digite a mensagem</v>
      </c>
    </row>
    <row r="165">
      <c r="A165" s="7" t="s">
        <v>484</v>
      </c>
      <c r="B165" s="9" t="s">
        <v>485</v>
      </c>
      <c r="C165" s="4" t="str">
        <f>IFERROR(__xludf.DUMMYFUNCTION("GOOGLETRANSLATE(B165,""en"",""hi"")"),"नया संदेश प्राप्त हुआ")</f>
        <v>नया संदेश प्राप्त हुआ</v>
      </c>
      <c r="D165" s="6" t="s">
        <v>486</v>
      </c>
      <c r="E165" s="4" t="str">
        <f>IFERROR(__xludf.DUMMYFUNCTION("GOOGLETRANSLATE(B165,""en"",""fr"")"),"Nouveau message reçu")</f>
        <v>Nouveau message reçu</v>
      </c>
      <c r="F165" s="4" t="str">
        <f>IFERROR(__xludf.DUMMYFUNCTION("GOOGLETRANSLATE(B165,""en"",""tr"")"),"Yeni Mesaj Alındı")</f>
        <v>Yeni Mesaj Alındı</v>
      </c>
      <c r="G165" s="4" t="str">
        <f>IFERROR(__xludf.DUMMYFUNCTION("GOOGLETRANSLATE(B165,""en"",""ru"")"),"Получено новое сообщение")</f>
        <v>Получено новое сообщение</v>
      </c>
      <c r="H165" s="4" t="str">
        <f>IFERROR(__xludf.DUMMYFUNCTION("GOOGLETRANSLATE(B165,""en"",""it"")"),"Nuovo messaggio ricevuto")</f>
        <v>Nuovo messaggio ricevuto</v>
      </c>
      <c r="I165" s="4" t="str">
        <f>IFERROR(__xludf.DUMMYFUNCTION("GOOGLETRANSLATE(B165,""en"",""de"")"),"Neue Nachricht erhalten")</f>
        <v>Neue Nachricht erhalten</v>
      </c>
      <c r="J165" s="4" t="str">
        <f>IFERROR(__xludf.DUMMYFUNCTION("GOOGLETRANSLATE(B165,""en"",""ko"")"),"새로운 메시지가 수신되었습니다")</f>
        <v>새로운 메시지가 수신되었습니다</v>
      </c>
      <c r="K165" s="4" t="str">
        <f>IFERROR(__xludf.DUMMYFUNCTION("GOOGLETRANSLATE(B165,""en"",""zh"")"),"收到新消息")</f>
        <v>收到新消息</v>
      </c>
      <c r="L165" s="4" t="str">
        <f>IFERROR(__xludf.DUMMYFUNCTION("GOOGLETRANSLATE(B165,""en"",""es"")"),"Nuevo mensaje recibido")</f>
        <v>Nuevo mensaje recibido</v>
      </c>
      <c r="M165" s="4" t="str">
        <f>IFERROR(__xludf.DUMMYFUNCTION("GOOGLETRANSLATE(B165,""en"",""iw"")"),"הודעה חדשה התקבלה")</f>
        <v>הודעה חדשה התקבלה</v>
      </c>
      <c r="N165" s="4" t="str">
        <f>IFERROR(__xludf.DUMMYFUNCTION("GOOGLETRANSLATE(B165,""en"",""bn"")"),"নতুন বার্তা গৃহীত হয়েছে")</f>
        <v>নতুন বার্তা গৃহীত হয়েছে</v>
      </c>
      <c r="O165" s="4" t="str">
        <f>IFERROR(__xludf.DUMMYFUNCTION("GOOGLETRANSLATE(B165,""en"",""pt"")"),"Nova mensagem recebida")</f>
        <v>Nova mensagem recebida</v>
      </c>
    </row>
    <row r="166">
      <c r="A166" s="7" t="s">
        <v>487</v>
      </c>
      <c r="B166" s="9" t="s">
        <v>488</v>
      </c>
      <c r="C166" s="4" t="str">
        <f>IFERROR(__xludf.DUMMYFUNCTION("GOOGLETRANSLATE(B166,""en"",""hi"")"),"कोई इंटरनेट कनेक्शन नहीं")</f>
        <v>कोई इंटरनेट कनेक्शन नहीं</v>
      </c>
      <c r="D166" s="6" t="s">
        <v>489</v>
      </c>
      <c r="E166" s="4" t="str">
        <f>IFERROR(__xludf.DUMMYFUNCTION("GOOGLETRANSLATE(B166,""en"",""fr"")"),"Pas de connexion Internet")</f>
        <v>Pas de connexion Internet</v>
      </c>
      <c r="F166" s="4" t="str">
        <f>IFERROR(__xludf.DUMMYFUNCTION("GOOGLETRANSLATE(B166,""en"",""tr"")"),"İnternet Bağlantısı Yok")</f>
        <v>İnternet Bağlantısı Yok</v>
      </c>
      <c r="G166" s="4" t="str">
        <f>IFERROR(__xludf.DUMMYFUNCTION("GOOGLETRANSLATE(B166,""en"",""ru"")"),"Нет подключения к Интернету")</f>
        <v>Нет подключения к Интернету</v>
      </c>
      <c r="H166" s="4" t="str">
        <f>IFERROR(__xludf.DUMMYFUNCTION("GOOGLETRANSLATE(B166,""en"",""it"")"),"Nessuna connessione Internet")</f>
        <v>Nessuna connessione Internet</v>
      </c>
      <c r="I166" s="4" t="str">
        <f>IFERROR(__xludf.DUMMYFUNCTION("GOOGLETRANSLATE(B166,""en"",""de"")"),"Keine Internetverbindung")</f>
        <v>Keine Internetverbindung</v>
      </c>
      <c r="J166" s="4" t="str">
        <f>IFERROR(__xludf.DUMMYFUNCTION("GOOGLETRANSLATE(B166,""en"",""ko"")"),"인터넷 연결 없음")</f>
        <v>인터넷 연결 없음</v>
      </c>
      <c r="K166" s="4" t="str">
        <f>IFERROR(__xludf.DUMMYFUNCTION("GOOGLETRANSLATE(B166,""en"",""zh"")"),"没有互联网连接")</f>
        <v>没有互联网连接</v>
      </c>
      <c r="L166" s="4" t="str">
        <f>IFERROR(__xludf.DUMMYFUNCTION("GOOGLETRANSLATE(B166,""en"",""es"")"),"Sin conexión a Internet")</f>
        <v>Sin conexión a Internet</v>
      </c>
      <c r="M166" s="4" t="str">
        <f>IFERROR(__xludf.DUMMYFUNCTION("GOOGLETRANSLATE(B166,""en"",""iw"")"),"אין חיבור לאינטרנט")</f>
        <v>אין חיבור לאינטרנט</v>
      </c>
      <c r="N166" s="4" t="str">
        <f>IFERROR(__xludf.DUMMYFUNCTION("GOOGLETRANSLATE(B166,""en"",""bn"")"),"ইন্টারনেট সংযোগ নেই")</f>
        <v>ইন্টারনেট সংযোগ নেই</v>
      </c>
      <c r="O166" s="4" t="str">
        <f>IFERROR(__xludf.DUMMYFUNCTION("GOOGLETRANSLATE(B166,""en"",""pt"")"),"Sem conexão com a Internet")</f>
        <v>Sem conexão com a Internet</v>
      </c>
    </row>
    <row r="167">
      <c r="A167" s="7" t="s">
        <v>490</v>
      </c>
      <c r="B167" s="9" t="s">
        <v>491</v>
      </c>
      <c r="C167" s="4" t="str">
        <f>IFERROR(__xludf.DUMMYFUNCTION("GOOGLETRANSLATE(B167,""en"",""hi"")"),"कृपया अपना इंटरनेट कनेक्शन जांचें, वाई-फ़ाई चालू करें या बाद में पुनः प्रयास करें")</f>
        <v>कृपया अपना इंटरनेट कनेक्शन जांचें, वाई-फ़ाई चालू करें या बाद में पुनः प्रयास करें</v>
      </c>
      <c r="D167" s="6" t="s">
        <v>492</v>
      </c>
      <c r="E167" s="4" t="str">
        <f>IFERROR(__xludf.DUMMYFUNCTION("GOOGLETRANSLATE(B167,""en"",""fr"")"),"Veuillez vérifier votre connexion Internet, essayez d'activer le Wi-Fi ou réessayez plus tard")</f>
        <v>Veuillez vérifier votre connexion Internet, essayez d'activer le Wi-Fi ou réessayez plus tard</v>
      </c>
      <c r="F167" s="4" t="str">
        <f>IFERROR(__xludf.DUMMYFUNCTION("GOOGLETRANSLATE(B167,""en"",""tr"")"),"Lütfen internet bağlantınızı kontrol edin, Wi-Fi'yi etkinleştirmeyi deneyin veya daha sonra tekrar deneyin")</f>
        <v>Lütfen internet bağlantınızı kontrol edin, Wi-Fi'yi etkinleştirmeyi deneyin veya daha sonra tekrar deneyin</v>
      </c>
      <c r="G167" s="4" t="str">
        <f>IFERROR(__xludf.DUMMYFUNCTION("GOOGLETRANSLATE(B167,""en"",""ru"")"),"Проверьте подключение к Интернету, попробуйте включить Wi-Fi или повторите попытку позже.")</f>
        <v>Проверьте подключение к Интернету, попробуйте включить Wi-Fi или повторите попытку позже.</v>
      </c>
      <c r="H167" s="4" t="str">
        <f>IFERROR(__xludf.DUMMYFUNCTION("GOOGLETRANSLATE(B167,""en"",""it"")"),"Controlla la tua connessione Internet, prova ad abilitare il Wi-Fi o riprova più tardi")</f>
        <v>Controlla la tua connessione Internet, prova ad abilitare il Wi-Fi o riprova più tardi</v>
      </c>
      <c r="I167" s="4" t="str">
        <f>IFERROR(__xludf.DUMMYFUNCTION("GOOGLETRANSLATE(B167,""en"",""de"")"),"Bitte überprüfen Sie Ihre Internetverbindung, versuchen Sie, WLAN zu aktivieren, oder versuchen Sie es später erneut")</f>
        <v>Bitte überprüfen Sie Ihre Internetverbindung, versuchen Sie, WLAN zu aktivieren, oder versuchen Sie es später erneut</v>
      </c>
      <c r="J167" s="4" t="str">
        <f>IFERROR(__xludf.DUMMYFUNCTION("GOOGLETRANSLATE(B167,""en"",""ko"")"),"인터넷 연결을 확인하고 Wi-Fi를 활성화하거나 나중에 다시 시도해 보세요.")</f>
        <v>인터넷 연결을 확인하고 Wi-Fi를 활성화하거나 나중에 다시 시도해 보세요.</v>
      </c>
      <c r="K167" s="4" t="str">
        <f>IFERROR(__xludf.DUMMYFUNCTION("GOOGLETRANSLATE(B167,""en"",""zh"")"),"请检查您的互联网连接，尝试启用 Wi-Fi 或稍后重试")</f>
        <v>请检查您的互联网连接，尝试启用 Wi-Fi 或稍后重试</v>
      </c>
      <c r="L167" s="4" t="str">
        <f>IFERROR(__xludf.DUMMYFUNCTION("GOOGLETRANSLATE(B167,""en"",""es"")"),"Por favor verifique su conexión a Internet, intente habilitar wifi o inténtelo nuevamente más tarde.")</f>
        <v>Por favor verifique su conexión a Internet, intente habilitar wifi o inténtelo nuevamente más tarde.</v>
      </c>
      <c r="M167" s="4" t="str">
        <f>IFERROR(__xludf.DUMMYFUNCTION("GOOGLETRANSLATE(B167,""en"",""iw"")"),"בדוק את חיבור האינטרנט שלך, נסה להפעיל wifi או נסה שוב מאוחר יותר")</f>
        <v>בדוק את חיבור האינטרנט שלך, נסה להפעיל wifi או נסה שוב מאוחר יותר</v>
      </c>
      <c r="N167" s="4" t="str">
        <f>IFERROR(__xludf.DUMMYFUNCTION("GOOGLETRANSLATE(B167,""en"",""bn"")"),"অনুগ্রহ করে আপনার ইন্টারনেট সংযোগ পরীক্ষা করুন, ওয়াইফাই সক্ষম করার চেষ্টা করুন বা পরে আবার চেষ্টা করুন")</f>
        <v>অনুগ্রহ করে আপনার ইন্টারনেট সংযোগ পরীক্ষা করুন, ওয়াইফাই সক্ষম করার চেষ্টা করুন বা পরে আবার চেষ্টা করুন</v>
      </c>
      <c r="O167" s="4" t="str">
        <f>IFERROR(__xludf.DUMMYFUNCTION("GOOGLETRANSLATE(B167,""en"",""pt"")"),"Verifique sua conexão com a internet, tente habilitar o wifi ou tente novamente mais tarde")</f>
        <v>Verifique sua conexão com a internet, tente habilitar o wifi ou tente novamente mais tarde</v>
      </c>
    </row>
    <row r="168">
      <c r="A168" s="7" t="s">
        <v>493</v>
      </c>
      <c r="B168" s="9" t="s">
        <v>494</v>
      </c>
      <c r="C168" s="4" t="str">
        <f>IFERROR(__xludf.DUMMYFUNCTION("GOOGLETRANSLATE(B168,""en"",""hi"")"),"कॉपीराइट")</f>
        <v>कॉपीराइट</v>
      </c>
      <c r="D168" s="6" t="s">
        <v>495</v>
      </c>
      <c r="E168" s="4" t="str">
        <f>IFERROR(__xludf.DUMMYFUNCTION("GOOGLETRANSLATE(B168,""en"",""fr"")"),"Droits d'auteur")</f>
        <v>Droits d'auteur</v>
      </c>
      <c r="F168" s="4" t="str">
        <f>IFERROR(__xludf.DUMMYFUNCTION("GOOGLETRANSLATE(B168,""en"",""tr"")"),"Telif Hakları")</f>
        <v>Telif Hakları</v>
      </c>
      <c r="G168" s="4" t="str">
        <f>IFERROR(__xludf.DUMMYFUNCTION("GOOGLETRANSLATE(B168,""en"",""ru"")"),"Авторские права")</f>
        <v>Авторские права</v>
      </c>
      <c r="H168" s="4" t="str">
        <f>IFERROR(__xludf.DUMMYFUNCTION("GOOGLETRANSLATE(B168,""en"",""it"")"),"Diritti d'autore")</f>
        <v>Diritti d'autore</v>
      </c>
      <c r="I168" s="4" t="str">
        <f>IFERROR(__xludf.DUMMYFUNCTION("GOOGLETRANSLATE(B168,""en"",""de"")"),"Urheberrechte")</f>
        <v>Urheberrechte</v>
      </c>
      <c r="J168" s="4" t="str">
        <f>IFERROR(__xludf.DUMMYFUNCTION("GOOGLETRANSLATE(B168,""en"",""ko"")"),"저작권")</f>
        <v>저작권</v>
      </c>
      <c r="K168" s="4" t="str">
        <f>IFERROR(__xludf.DUMMYFUNCTION("GOOGLETRANSLATE(B168,""en"",""zh"")"),"版权")</f>
        <v>版权</v>
      </c>
      <c r="L168" s="4" t="str">
        <f>IFERROR(__xludf.DUMMYFUNCTION("GOOGLETRANSLATE(B168,""en"",""es"")"),"Derechos de autor")</f>
        <v>Derechos de autor</v>
      </c>
      <c r="M168" s="4" t="str">
        <f>IFERROR(__xludf.DUMMYFUNCTION("GOOGLETRANSLATE(B168,""en"",""iw"")"),"זכויות יוצרים")</f>
        <v>זכויות יוצרים</v>
      </c>
      <c r="N168" s="4" t="str">
        <f>IFERROR(__xludf.DUMMYFUNCTION("GOOGLETRANSLATE(B168,""en"",""bn"")"),"কপিরাইট")</f>
        <v>কপিরাইট</v>
      </c>
      <c r="O168" s="4" t="str">
        <f>IFERROR(__xludf.DUMMYFUNCTION("GOOGLETRANSLATE(B168,""en"",""pt"")"),"Direitos autorais")</f>
        <v>Direitos autorais</v>
      </c>
    </row>
    <row r="169">
      <c r="A169" s="7" t="s">
        <v>496</v>
      </c>
      <c r="B169" s="9" t="s">
        <v>497</v>
      </c>
      <c r="C169" s="4" t="str">
        <f>IFERROR(__xludf.DUMMYFUNCTION("GOOGLETRANSLATE(B169,""en"",""hi"")"),"नियम और शर्तें")</f>
        <v>नियम और शर्तें</v>
      </c>
      <c r="D169" s="4" t="str">
        <f>IFERROR(__xludf.DUMMYFUNCTION("GOOGLETRANSLATE(B169,""en"",""ar"")"),"الشروط والأحكام")</f>
        <v>الشروط والأحكام</v>
      </c>
      <c r="E169" s="4" t="str">
        <f>IFERROR(__xludf.DUMMYFUNCTION("GOOGLETRANSLATE(B169,""en"",""fr"")"),"Termes et conditions")</f>
        <v>Termes et conditions</v>
      </c>
      <c r="F169" s="4" t="str">
        <f>IFERROR(__xludf.DUMMYFUNCTION("GOOGLETRANSLATE(B169,""en"",""tr"")"),"Şartlar ve koşullar")</f>
        <v>Şartlar ve koşullar</v>
      </c>
      <c r="G169" s="4" t="str">
        <f>IFERROR(__xludf.DUMMYFUNCTION("GOOGLETRANSLATE(B169,""en"",""ru"")"),"Условия и положения")</f>
        <v>Условия и положения</v>
      </c>
      <c r="H169" s="4" t="str">
        <f>IFERROR(__xludf.DUMMYFUNCTION("GOOGLETRANSLATE(B169,""en"",""it"")"),"Termini e Condizioni")</f>
        <v>Termini e Condizioni</v>
      </c>
      <c r="I169" s="4" t="str">
        <f>IFERROR(__xludf.DUMMYFUNCTION("GOOGLETRANSLATE(B169,""en"",""de"")"),"Geschäftsbedingungen")</f>
        <v>Geschäftsbedingungen</v>
      </c>
      <c r="J169" s="4" t="str">
        <f>IFERROR(__xludf.DUMMYFUNCTION("GOOGLETRANSLATE(B169,""en"",""ko"")"),"이용 약관")</f>
        <v>이용 약관</v>
      </c>
      <c r="K169" s="4" t="str">
        <f>IFERROR(__xludf.DUMMYFUNCTION("GOOGLETRANSLATE(B169,""en"",""zh"")"),"条款和条件")</f>
        <v>条款和条件</v>
      </c>
      <c r="L169" s="4" t="str">
        <f>IFERROR(__xludf.DUMMYFUNCTION("GOOGLETRANSLATE(B169,""en"",""es"")"),"Términos y condiciones")</f>
        <v>Términos y condiciones</v>
      </c>
      <c r="M169" s="4" t="str">
        <f>IFERROR(__xludf.DUMMYFUNCTION("GOOGLETRANSLATE(B169,""en"",""iw"")"),"תנאים והגבלות")</f>
        <v>תנאים והגבלות</v>
      </c>
      <c r="N169" s="4" t="str">
        <f>IFERROR(__xludf.DUMMYFUNCTION("GOOGLETRANSLATE(B169,""en"",""bn"")"),"শর্তাবলী")</f>
        <v>শর্তাবলী</v>
      </c>
      <c r="O169" s="4" t="str">
        <f>IFERROR(__xludf.DUMMYFUNCTION("GOOGLETRANSLATE(B169,""en"",""pt"")"),"Termos e Condições")</f>
        <v>Termos e Condições</v>
      </c>
    </row>
    <row r="170">
      <c r="A170" s="7" t="s">
        <v>498</v>
      </c>
      <c r="B170" s="9" t="s">
        <v>499</v>
      </c>
      <c r="C170" s="4" t="str">
        <f>IFERROR(__xludf.DUMMYFUNCTION("GOOGLETRANSLATE(B170,""en"",""hi"")"),"आपके विश्वसनीय संपर्क")</f>
        <v>आपके विश्वसनीय संपर्क</v>
      </c>
      <c r="D170" s="6" t="s">
        <v>500</v>
      </c>
      <c r="E170" s="4" t="str">
        <f>IFERROR(__xludf.DUMMYFUNCTION("GOOGLETRANSLATE(B170,""en"",""fr"")"),"Vos contacts de confiance")</f>
        <v>Vos contacts de confiance</v>
      </c>
      <c r="F170" s="4" t="str">
        <f>IFERROR(__xludf.DUMMYFUNCTION("GOOGLETRANSLATE(B170,""en"",""tr"")"),"Güvenilir Kişileriniz")</f>
        <v>Güvenilir Kişileriniz</v>
      </c>
      <c r="G170" s="4" t="str">
        <f>IFERROR(__xludf.DUMMYFUNCTION("GOOGLETRANSLATE(B170,""en"",""ru"")"),"Ваши доверенные контакты")</f>
        <v>Ваши доверенные контакты</v>
      </c>
      <c r="H170" s="4" t="str">
        <f>IFERROR(__xludf.DUMMYFUNCTION("GOOGLETRANSLATE(B170,""en"",""it"")"),"I tuoi contatti di fiducia")</f>
        <v>I tuoi contatti di fiducia</v>
      </c>
      <c r="I170" s="4" t="str">
        <f>IFERROR(__xludf.DUMMYFUNCTION("GOOGLETRANSLATE(B170,""en"",""de"")"),"Ihre vertrauenswürdigen Kontakte")</f>
        <v>Ihre vertrauenswürdigen Kontakte</v>
      </c>
      <c r="J170" s="4" t="str">
        <f>IFERROR(__xludf.DUMMYFUNCTION("GOOGLETRANSLATE(B170,""en"",""ko"")"),"귀하의 신뢰할 수 있는 연락처")</f>
        <v>귀하의 신뢰할 수 있는 연락처</v>
      </c>
      <c r="K170" s="4" t="str">
        <f>IFERROR(__xludf.DUMMYFUNCTION("GOOGLETRANSLATE(B170,""en"",""zh"")"),"您的可信赖联系人")</f>
        <v>您的可信赖联系人</v>
      </c>
      <c r="L170" s="4" t="str">
        <f>IFERROR(__xludf.DUMMYFUNCTION("GOOGLETRANSLATE(B170,""en"",""es"")"),"Sus contactos de confianza")</f>
        <v>Sus contactos de confianza</v>
      </c>
      <c r="M170" s="4" t="str">
        <f>IFERROR(__xludf.DUMMYFUNCTION("GOOGLETRANSLATE(B170,""en"",""iw"")"),"אנשי הקשר המהימנים שלך")</f>
        <v>אנשי הקשר המהימנים שלך</v>
      </c>
      <c r="N170" s="4" t="str">
        <f>IFERROR(__xludf.DUMMYFUNCTION("GOOGLETRANSLATE(B170,""en"",""bn"")"),"আপনার বিশ্বস্ত পরিচিতি")</f>
        <v>আপনার বিশ্বস্ত পরিচিতি</v>
      </c>
      <c r="O170" s="4" t="str">
        <f>IFERROR(__xludf.DUMMYFUNCTION("GOOGLETRANSLATE(B170,""en"",""pt"")"),"Seus contatos confiáveis")</f>
        <v>Seus contatos confiáveis</v>
      </c>
    </row>
    <row r="171">
      <c r="A171" s="7" t="s">
        <v>501</v>
      </c>
      <c r="B171" s="3" t="s">
        <v>502</v>
      </c>
      <c r="C171" s="4" t="str">
        <f>IFERROR(__xludf.DUMMYFUNCTION("GOOGLETRANSLATE(B171,""en"",""hi"")"),"क्या आप इस संपर्क को अपने विश्वसनीय संपर्क से हटाना चाहते हैं?")</f>
        <v>क्या आप इस संपर्क को अपने विश्वसनीय संपर्क से हटाना चाहते हैं?</v>
      </c>
      <c r="D171" s="6" t="s">
        <v>503</v>
      </c>
      <c r="E171" s="4" t="str">
        <f>IFERROR(__xludf.DUMMYFUNCTION("GOOGLETRANSLATE(B171,""en"",""fr"")"),"Êtes-vous sûr de vouloir supprimer ce contact de votre liste de contacts de confiance ?")</f>
        <v>Êtes-vous sûr de vouloir supprimer ce contact de votre liste de contacts de confiance ?</v>
      </c>
      <c r="F171" s="4" t="str">
        <f>IFERROR(__xludf.DUMMYFUNCTION("GOOGLETRANSLATE(B171,""en"",""tr"")"),"Bu kişiyi güvenilir Kişilerinizden kaldırmak istediğinizden emin misiniz?")</f>
        <v>Bu kişiyi güvenilir Kişilerinizden kaldırmak istediğinizden emin misiniz?</v>
      </c>
      <c r="G171" s="4" t="str">
        <f>IFERROR(__xludf.DUMMYFUNCTION("GOOGLETRANSLATE(B171,""en"",""ru"")"),"Вы уверены, что хотите удалить этот контакт из списка доверенных контактов?")</f>
        <v>Вы уверены, что хотите удалить этот контакт из списка доверенных контактов?</v>
      </c>
      <c r="H171" s="4" t="str">
        <f>IFERROR(__xludf.DUMMYFUNCTION("GOOGLETRANSLATE(B171,""en"",""it"")"),"Vuoi davvero rimuovere questo contatto dai tuoi contatti di fiducia?")</f>
        <v>Vuoi davvero rimuovere questo contatto dai tuoi contatti di fiducia?</v>
      </c>
      <c r="I171" s="4" t="str">
        <f>IFERROR(__xludf.DUMMYFUNCTION("GOOGLETRANSLATE(B171,""en"",""de"")"),"Möchten Sie diesen Kontakt wirklich aus Ihrer Liste vertrauenswürdiger Kontakte entfernen?")</f>
        <v>Möchten Sie diesen Kontakt wirklich aus Ihrer Liste vertrauenswürdiger Kontakte entfernen?</v>
      </c>
      <c r="J171" s="4" t="str">
        <f>IFERROR(__xludf.DUMMYFUNCTION("GOOGLETRANSLATE(B171,""en"",""ko"")"),"이 연락처를 신뢰할 수 있는 연락처에서 제거하시겠습니까?")</f>
        <v>이 연락처를 신뢰할 수 있는 연락처에서 제거하시겠습니까?</v>
      </c>
      <c r="K171" s="4" t="str">
        <f>IFERROR(__xludf.DUMMYFUNCTION("GOOGLETRANSLATE(B171,""en"",""zh"")"),"您确定从您的信任联系人中删除此联系人吗？")</f>
        <v>您确定从您的信任联系人中删除此联系人吗？</v>
      </c>
      <c r="L171" s="4" t="str">
        <f>IFERROR(__xludf.DUMMYFUNCTION("GOOGLETRANSLATE(B171,""en"",""es"")"),"¿Estás seguro de eliminar este contacto de tu lista de contactos de confianza?")</f>
        <v>¿Estás seguro de eliminar este contacto de tu lista de contactos de confianza?</v>
      </c>
      <c r="M171" s="4" t="str">
        <f>IFERROR(__xludf.DUMMYFUNCTION("GOOGLETRANSLATE(B171,""en"",""iw"")"),"האם אתה בטוח להסיר איש קשר זה מאיש הקשר המהימן שלך")</f>
        <v>האם אתה בטוח להסיר איש קשר זה מאיש הקשר המהימן שלך</v>
      </c>
      <c r="N171" s="4" t="str">
        <f>IFERROR(__xludf.DUMMYFUNCTION("GOOGLETRANSLATE(B171,""en"",""bn"")"),"আপনি কি আপনার বিশ্বস্ত পরিচিতি থেকে এই পরিচিতিটি সরানোর বিষয়ে নিশ্চিত")</f>
        <v>আপনি কি আপনার বিশ্বস্ত পরিচিতি থেকে এই পরিচিতিটি সরানোর বিষয়ে নিশ্চিত</v>
      </c>
      <c r="O171" s="4" t="str">
        <f>IFERROR(__xludf.DUMMYFUNCTION("GOOGLETRANSLATE(B171,""en"",""pt"")"),"Tem certeza de que deseja remover este contato da sua lista de contatos confiáveis?")</f>
        <v>Tem certeza de que deseja remover este contato da sua lista de contatos confiáveis?</v>
      </c>
    </row>
    <row r="172">
      <c r="A172" s="7" t="s">
        <v>504</v>
      </c>
      <c r="B172" s="9" t="s">
        <v>505</v>
      </c>
      <c r="C172" s="4" t="str">
        <f>IFERROR(__xludf.DUMMYFUNCTION("GOOGLETRANSLATE(B172,""en"",""hi"")"),"डाटा प्राप्त नहीं हुआ")</f>
        <v>डाटा प्राप्त नहीं हुआ</v>
      </c>
      <c r="D172" s="6" t="s">
        <v>506</v>
      </c>
      <c r="E172" s="4" t="str">
        <f>IFERROR(__xludf.DUMMYFUNCTION("GOOGLETRANSLATE(B172,""en"",""fr"")"),"Aucune donnée trouvée")</f>
        <v>Aucune donnée trouvée</v>
      </c>
      <c r="F172" s="4" t="str">
        <f>IFERROR(__xludf.DUMMYFUNCTION("GOOGLETRANSLATE(B172,""en"",""tr"")"),"Veri Bulunamadı")</f>
        <v>Veri Bulunamadı</v>
      </c>
      <c r="G172" s="4" t="str">
        <f>IFERROR(__xludf.DUMMYFUNCTION("GOOGLETRANSLATE(B172,""en"",""ru"")"),"Данные не найдены")</f>
        <v>Данные не найдены</v>
      </c>
      <c r="H172" s="4" t="str">
        <f>IFERROR(__xludf.DUMMYFUNCTION("GOOGLETRANSLATE(B172,""en"",""it"")"),"Nessun dato trovato")</f>
        <v>Nessun dato trovato</v>
      </c>
      <c r="I172" s="4" t="str">
        <f>IFERROR(__xludf.DUMMYFUNCTION("GOOGLETRANSLATE(B172,""en"",""de"")"),"Keine Daten gefunden")</f>
        <v>Keine Daten gefunden</v>
      </c>
      <c r="J172" s="4" t="str">
        <f>IFERROR(__xludf.DUMMYFUNCTION("GOOGLETRANSLATE(B172,""en"",""ko"")"),"데이터가 없습니다")</f>
        <v>데이터가 없습니다</v>
      </c>
      <c r="K172" s="4" t="str">
        <f>IFERROR(__xludf.DUMMYFUNCTION("GOOGLETRANSLATE(B172,""en"",""zh"")"),"未找到数据")</f>
        <v>未找到数据</v>
      </c>
      <c r="L172" s="4" t="str">
        <f>IFERROR(__xludf.DUMMYFUNCTION("GOOGLETRANSLATE(B172,""en"",""es"")"),"No se encontraron datos")</f>
        <v>No se encontraron datos</v>
      </c>
      <c r="M172" s="4" t="str">
        <f>IFERROR(__xludf.DUMMYFUNCTION("GOOGLETRANSLATE(B172,""en"",""iw"")"),"לא נמצאו נתונים")</f>
        <v>לא נמצאו נתונים</v>
      </c>
      <c r="N172" s="4" t="str">
        <f>IFERROR(__xludf.DUMMYFUNCTION("GOOGLETRANSLATE(B172,""en"",""bn"")"),"কোন তথ্য পাওয়া যায়নি")</f>
        <v>কোন তথ্য পাওয়া যায়নি</v>
      </c>
      <c r="O172" s="4" t="str">
        <f>IFERROR(__xludf.DUMMYFUNCTION("GOOGLETRANSLATE(B172,""en"",""pt"")"),"Nenhum dado encontrado")</f>
        <v>Nenhum dado encontrado</v>
      </c>
    </row>
    <row r="173">
      <c r="A173" s="7" t="s">
        <v>507</v>
      </c>
      <c r="B173" s="3" t="s">
        <v>508</v>
      </c>
      <c r="C173" s="4" t="str">
        <f>IFERROR(__xludf.DUMMYFUNCTION("GOOGLETRANSLATE(B173,""en"",""hi"")"),"क्या आप इस पते को अपने पसंदीदा से हटाना चाहते हैं?")</f>
        <v>क्या आप इस पते को अपने पसंदीदा से हटाना चाहते हैं?</v>
      </c>
      <c r="D173" s="6" t="s">
        <v>509</v>
      </c>
      <c r="E173" s="4" t="str">
        <f>IFERROR(__xludf.DUMMYFUNCTION("GOOGLETRANSLATE(B173,""en"",""fr"")"),"Êtes-vous sûr de vouloir supprimer cette adresse de vos favoris")</f>
        <v>Êtes-vous sûr de vouloir supprimer cette adresse de vos favoris</v>
      </c>
      <c r="F173" s="4" t="str">
        <f>IFERROR(__xludf.DUMMYFUNCTION("GOOGLETRANSLATE(B173,""en"",""tr"")"),"Bu adresi favorilerinizden kaldırmak istediğinizden emin misiniz?")</f>
        <v>Bu adresi favorilerinizden kaldırmak istediğinizden emin misiniz?</v>
      </c>
      <c r="G173" s="4" t="str">
        <f>IFERROR(__xludf.DUMMYFUNCTION("GOOGLETRANSLATE(B173,""en"",""ru"")"),"Вы уверены, что хотите удалить этот адрес из избранного?")</f>
        <v>Вы уверены, что хотите удалить этот адрес из избранного?</v>
      </c>
      <c r="H173" s="4" t="str">
        <f>IFERROR(__xludf.DUMMYFUNCTION("GOOGLETRANSLATE(B173,""en"",""it"")"),"Vuoi davvero rimuovere questo indirizzo dai tuoi preferiti?")</f>
        <v>Vuoi davvero rimuovere questo indirizzo dai tuoi preferiti?</v>
      </c>
      <c r="I173" s="4" t="str">
        <f>IFERROR(__xludf.DUMMYFUNCTION("GOOGLETRANSLATE(B173,""en"",""de"")"),"Möchten Sie diese Adresse wirklich aus Ihren Favoriten entfernen?")</f>
        <v>Möchten Sie diese Adresse wirklich aus Ihren Favoriten entfernen?</v>
      </c>
      <c r="J173" s="4" t="str">
        <f>IFERROR(__xludf.DUMMYFUNCTION("GOOGLETRANSLATE(B173,""en"",""ko"")"),"이 주소를 즐겨찾기에서 제거하시겠습니까?")</f>
        <v>이 주소를 즐겨찾기에서 제거하시겠습니까?</v>
      </c>
      <c r="K173" s="4" t="str">
        <f>IFERROR(__xludf.DUMMYFUNCTION("GOOGLETRANSLATE(B173,""en"",""zh"")"),"您确定要从收藏夹中删除此地址吗")</f>
        <v>您确定要从收藏夹中删除此地址吗</v>
      </c>
      <c r="L173" s="4" t="str">
        <f>IFERROR(__xludf.DUMMYFUNCTION("GOOGLETRANSLATE(B173,""en"",""es"")"),"¿Estás seguro de eliminar esta dirección de tus favoritos?")</f>
        <v>¿Estás seguro de eliminar esta dirección de tus favoritos?</v>
      </c>
      <c r="M173" s="4" t="str">
        <f>IFERROR(__xludf.DUMMYFUNCTION("GOOGLETRANSLATE(B173,""en"",""iw"")"),"האם אתה בטוח שתסיר כתובת זו מהמועדפים שלך")</f>
        <v>האם אתה בטוח שתסיר כתובת זו מהמועדפים שלך</v>
      </c>
      <c r="N173" s="4" t="str">
        <f>IFERROR(__xludf.DUMMYFUNCTION("GOOGLETRANSLATE(B173,""en"",""bn"")"),"আপনি কি আপনার প্রিয় থেকে এই ঠিকানাটি মুছে ফেলার বিষয়ে নিশ্চিত")</f>
        <v>আপনি কি আপনার প্রিয় থেকে এই ঠিকানাটি মুছে ফেলার বিষয়ে নিশ্চিত</v>
      </c>
      <c r="O173" s="4" t="str">
        <f>IFERROR(__xludf.DUMMYFUNCTION("GOOGLETRANSLATE(B173,""en"",""pt"")"),"Tem certeza de que deseja remover este endereço dos seus favoritos?")</f>
        <v>Tem certeza de que deseja remover este endereço dos seus favoritos?</v>
      </c>
    </row>
    <row r="174">
      <c r="A174" s="7" t="s">
        <v>510</v>
      </c>
      <c r="B174" s="3" t="s">
        <v>511</v>
      </c>
      <c r="C174" s="4" t="str">
        <f>IFERROR(__xludf.DUMMYFUNCTION("GOOGLETRANSLATE(B174,""en"",""hi"")"),"आमंत्रित करना")</f>
        <v>आमंत्रित करना</v>
      </c>
      <c r="D174" s="6" t="s">
        <v>512</v>
      </c>
      <c r="E174" s="4" t="str">
        <f>IFERROR(__xludf.DUMMYFUNCTION("GOOGLETRANSLATE(B174,""en"",""fr"")"),"Inviter")</f>
        <v>Inviter</v>
      </c>
      <c r="F174" s="4" t="str">
        <f>IFERROR(__xludf.DUMMYFUNCTION("GOOGLETRANSLATE(B174,""en"",""tr"")"),"Davet etmek")</f>
        <v>Davet etmek</v>
      </c>
      <c r="G174" s="4" t="str">
        <f>IFERROR(__xludf.DUMMYFUNCTION("GOOGLETRANSLATE(B174,""en"",""ru"")"),"Приглашать")</f>
        <v>Приглашать</v>
      </c>
      <c r="H174" s="4" t="str">
        <f>IFERROR(__xludf.DUMMYFUNCTION("GOOGLETRANSLATE(B174,""en"",""it"")"),"Invitare")</f>
        <v>Invitare</v>
      </c>
      <c r="I174" s="4" t="str">
        <f>IFERROR(__xludf.DUMMYFUNCTION("GOOGLETRANSLATE(B174,""en"",""de"")"),"Einladen")</f>
        <v>Einladen</v>
      </c>
      <c r="J174" s="4" t="str">
        <f>IFERROR(__xludf.DUMMYFUNCTION("GOOGLETRANSLATE(B174,""en"",""ko"")"),"초대하다")</f>
        <v>초대하다</v>
      </c>
      <c r="K174" s="4" t="str">
        <f>IFERROR(__xludf.DUMMYFUNCTION("GOOGLETRANSLATE(B174,""en"",""zh"")"),"邀请")</f>
        <v>邀请</v>
      </c>
      <c r="L174" s="4" t="str">
        <f>IFERROR(__xludf.DUMMYFUNCTION("GOOGLETRANSLATE(B174,""en"",""es"")"),"Invitar")</f>
        <v>Invitar</v>
      </c>
      <c r="M174" s="4" t="str">
        <f>IFERROR(__xludf.DUMMYFUNCTION("GOOGLETRANSLATE(B174,""en"",""iw"")"),"לְהַזמִין")</f>
        <v>לְהַזמִין</v>
      </c>
      <c r="N174" s="4" t="str">
        <f>IFERROR(__xludf.DUMMYFUNCTION("GOOGLETRANSLATE(B174,""en"",""bn"")"),"আমন্ত্রণ জানান")</f>
        <v>আমন্ত্রণ জানান</v>
      </c>
      <c r="O174" s="4" t="str">
        <f>IFERROR(__xludf.DUMMYFUNCTION("GOOGLETRANSLATE(B174,""en"",""pt"")"),"Convidar")</f>
        <v>Convidar</v>
      </c>
    </row>
    <row r="175">
      <c r="A175" s="7" t="s">
        <v>513</v>
      </c>
      <c r="B175" s="3" t="s">
        <v>514</v>
      </c>
      <c r="C175" s="4" t="str">
        <f>IFERROR(__xludf.DUMMYFUNCTION("GOOGLETRANSLATE(B175,""en"",""hi"")"),"मेरे आमंत्रण कोड का उपयोग करके 55! पर मुझसे जुड़ें")</f>
        <v>मेरे आमंत्रण कोड का उपयोग करके 55! पर मुझसे जुड़ें</v>
      </c>
      <c r="D175" s="6" t="s">
        <v>515</v>
      </c>
      <c r="E175" s="4" t="str">
        <f>IFERROR(__xludf.DUMMYFUNCTION("GOOGLETRANSLATE(B175,""en"",""fr"")"),"Rejoignez-moi le 55 ! en utilisant mon code d'invitation")</f>
        <v>Rejoignez-moi le 55 ! en utilisant mon code d'invitation</v>
      </c>
      <c r="F175" s="4" t="str">
        <f>IFERROR(__xludf.DUMMYFUNCTION("GOOGLETRANSLATE(B175,""en"",""tr"")"),"Davet kodumu kullanarak 55'e katılın!")</f>
        <v>Davet kodumu kullanarak 55'e katılın!</v>
      </c>
      <c r="G175" s="4" t="str">
        <f>IFERROR(__xludf.DUMMYFUNCTION("GOOGLETRANSLATE(B175,""en"",""ru"")"),"Присоединяйтесь ко мне в 55!, используя мой пригласительный код")</f>
        <v>Присоединяйтесь ко мне в 55!, используя мой пригласительный код</v>
      </c>
      <c r="H175" s="4" t="str">
        <f>IFERROR(__xludf.DUMMYFUNCTION("GOOGLETRANSLATE(B175,""en"",""it"")"),"Unisciti a me su 55! usando il mio codice invito")</f>
        <v>Unisciti a me su 55! usando il mio codice invito</v>
      </c>
      <c r="I175" s="4" t="str">
        <f>IFERROR(__xludf.DUMMYFUNCTION("GOOGLETRANSLATE(B175,""en"",""de"")"),"Begleiten Sie mich auf 55! mit meinem Einladungscode")</f>
        <v>Begleiten Sie mich auf 55! mit meinem Einladungscode</v>
      </c>
      <c r="J175" s="4" t="str">
        <f>IFERROR(__xludf.DUMMYFUNCTION("GOOGLETRANSLATE(B175,""en"",""ko"")"),"내 초대 코드를 사용하여 55!에 참여하세요!")</f>
        <v>내 초대 코드를 사용하여 55!에 참여하세요!</v>
      </c>
      <c r="K175" s="4" t="str">
        <f>IFERROR(__xludf.DUMMYFUNCTION("GOOGLETRANSLATE(B175,""en"",""zh"")"),"使用我的邀请码加入 55！")</f>
        <v>使用我的邀请码加入 55！</v>
      </c>
      <c r="L175" s="4" t="str">
        <f>IFERROR(__xludf.DUMMYFUNCTION("GOOGLETRANSLATE(B175,""en"",""es"")"),"¡Únete a mí en 55! usando mi código de invitación")</f>
        <v>¡Únete a mí en 55! usando mi código de invitación</v>
      </c>
      <c r="M175" s="4" t="str">
        <f>IFERROR(__xludf.DUMMYFUNCTION("GOOGLETRANSLATE(B175,""en"",""iw"")"),"הצטרפו אלי ב-55! באמצעות קוד ההזמנה שלי")</f>
        <v>הצטרפו אלי ב-55! באמצעות קוד ההזמנה שלי</v>
      </c>
      <c r="N175" s="4" t="str">
        <f>IFERROR(__xludf.DUMMYFUNCTION("GOOGLETRANSLATE(B175,""en"",""bn"")"),"55 এ আমার সাথে যোগ দিন! আমার আমন্ত্রণ কোড ব্যবহার করে")</f>
        <v>55 এ আমার সাথে যোগ দিন! আমার আমন্ত্রণ কোড ব্যবহার করে</v>
      </c>
      <c r="O175" s="4" t="str">
        <f>IFERROR(__xludf.DUMMYFUNCTION("GOOGLETRANSLATE(B175,""en"",""pt"")"),"Junte-se a mim no 55! usando meu código de convite")</f>
        <v>Junte-se a mim no 55! usando meu código de convite</v>
      </c>
    </row>
    <row r="176">
      <c r="A176" s="7" t="s">
        <v>516</v>
      </c>
      <c r="B176" s="3" t="s">
        <v>517</v>
      </c>
      <c r="C176" s="4" t="str">
        <f>IFERROR(__xludf.DUMMYFUNCTION("GOOGLETRANSLATE(B176,""en"",""hi"")"),"आपकी यात्रा को आसान बनाने के लिए")</f>
        <v>आपकी यात्रा को आसान बनाने के लिए</v>
      </c>
      <c r="D176" s="6" t="s">
        <v>518</v>
      </c>
      <c r="E176" s="4" t="str">
        <f>IFERROR(__xludf.DUMMYFUNCTION("GOOGLETRANSLATE(B176,""en"",""fr"")"),"Pour faciliter votre trajet")</f>
        <v>Pour faciliter votre trajet</v>
      </c>
      <c r="F176" s="4" t="str">
        <f>IFERROR(__xludf.DUMMYFUNCTION("GOOGLETRANSLATE(B176,""en"",""tr"")"),"Yolculuğunuzu kolaylaştırmak için")</f>
        <v>Yolculuğunuzu kolaylaştırmak için</v>
      </c>
      <c r="G176" s="4" t="str">
        <f>IFERROR(__xludf.DUMMYFUNCTION("GOOGLETRANSLATE(B176,""en"",""ru"")"),"Чтобы облегчить вашу поездку")</f>
        <v>Чтобы облегчить вашу поездку</v>
      </c>
      <c r="H176" s="4" t="str">
        <f>IFERROR(__xludf.DUMMYFUNCTION("GOOGLETRANSLATE(B176,""en"",""it"")"),"Per rendere più facile il tuo viaggio")</f>
        <v>Per rendere più facile il tuo viaggio</v>
      </c>
      <c r="I176" s="4" t="str">
        <f>IFERROR(__xludf.DUMMYFUNCTION("GOOGLETRANSLATE(B176,""en"",""de"")"),"Um Ihre Fahrt zu erleichtern")</f>
        <v>Um Ihre Fahrt zu erleichtern</v>
      </c>
      <c r="J176" s="4" t="str">
        <f>IFERROR(__xludf.DUMMYFUNCTION("GOOGLETRANSLATE(B176,""en"",""ko"")"),"라이딩을 편리하게 하기 위해")</f>
        <v>라이딩을 편리하게 하기 위해</v>
      </c>
      <c r="K176" s="4" t="str">
        <f>IFERROR(__xludf.DUMMYFUNCTION("GOOGLETRANSLATE(B176,""en"",""zh"")"),"让您的旅途更加轻松")</f>
        <v>让您的旅途更加轻松</v>
      </c>
      <c r="L176" s="4" t="str">
        <f>IFERROR(__xludf.DUMMYFUNCTION("GOOGLETRANSLATE(B176,""en"",""es"")"),"Para hacer tu viaje más fácil")</f>
        <v>Para hacer tu viaje más fácil</v>
      </c>
      <c r="M176" s="4" t="str">
        <f>IFERROR(__xludf.DUMMYFUNCTION("GOOGLETRANSLATE(B176,""en"",""iw"")"),"כדי להקל על הנסיעה שלך")</f>
        <v>כדי להקל על הנסיעה שלך</v>
      </c>
      <c r="N176" s="4" t="str">
        <f>IFERROR(__xludf.DUMMYFUNCTION("GOOGLETRANSLATE(B176,""en"",""bn"")"),"আপনার যাত্রা সহজ করতে")</f>
        <v>আপনার যাত্রা সহজ করতে</v>
      </c>
      <c r="O176" s="4" t="str">
        <f>IFERROR(__xludf.DUMMYFUNCTION("GOOGLETRANSLATE(B176,""en"",""pt"")"),"Para facilitar seu passeio")</f>
        <v>Para facilitar seu passeio</v>
      </c>
    </row>
    <row r="177">
      <c r="A177" s="7" t="s">
        <v>519</v>
      </c>
      <c r="B177" s="3" t="s">
        <v>520</v>
      </c>
      <c r="C177" s="4" t="str">
        <f>IFERROR(__xludf.DUMMYFUNCTION("GOOGLETRANSLATE(B177,""en"",""hi"")"),"आगामी")</f>
        <v>आगामी</v>
      </c>
      <c r="D177" s="6" t="s">
        <v>521</v>
      </c>
      <c r="E177" s="4" t="str">
        <f>IFERROR(__xludf.DUMMYFUNCTION("GOOGLETRANSLATE(B177,""en"",""fr"")"),"Prochain")</f>
        <v>Prochain</v>
      </c>
      <c r="F177" s="4" t="str">
        <f>IFERROR(__xludf.DUMMYFUNCTION("GOOGLETRANSLATE(B177,""en"",""tr"")"),"Yaklaşan")</f>
        <v>Yaklaşan</v>
      </c>
      <c r="G177" s="4" t="str">
        <f>IFERROR(__xludf.DUMMYFUNCTION("GOOGLETRANSLATE(B177,""en"",""ru"")"),"Предстоящие")</f>
        <v>Предстоящие</v>
      </c>
      <c r="H177" s="4" t="str">
        <f>IFERROR(__xludf.DUMMYFUNCTION("GOOGLETRANSLATE(B177,""en"",""it"")"),"Prossimamente")</f>
        <v>Prossimamente</v>
      </c>
      <c r="I177" s="4" t="str">
        <f>IFERROR(__xludf.DUMMYFUNCTION("GOOGLETRANSLATE(B177,""en"",""de"")"),"Demnächst")</f>
        <v>Demnächst</v>
      </c>
      <c r="J177" s="4" t="str">
        <f>IFERROR(__xludf.DUMMYFUNCTION("GOOGLETRANSLATE(B177,""en"",""ko"")"),"다가오는")</f>
        <v>다가오는</v>
      </c>
      <c r="K177" s="4" t="str">
        <f>IFERROR(__xludf.DUMMYFUNCTION("GOOGLETRANSLATE(B177,""en"",""zh"")"),"即将推出")</f>
        <v>即将推出</v>
      </c>
      <c r="L177" s="4" t="str">
        <f>IFERROR(__xludf.DUMMYFUNCTION("GOOGLETRANSLATE(B177,""en"",""es"")"),"Próximamente")</f>
        <v>Próximamente</v>
      </c>
      <c r="M177" s="4" t="str">
        <f>IFERROR(__xludf.DUMMYFUNCTION("GOOGLETRANSLATE(B177,""en"",""iw"")"),"בקרוב")</f>
        <v>בקרוב</v>
      </c>
      <c r="N177" s="4" t="str">
        <f>IFERROR(__xludf.DUMMYFUNCTION("GOOGLETRANSLATE(B177,""en"",""bn"")"),"আসন্ন")</f>
        <v>আসন্ন</v>
      </c>
      <c r="O177" s="4" t="str">
        <f>IFERROR(__xludf.DUMMYFUNCTION("GOOGLETRANSLATE(B177,""en"",""pt"")"),"Por vir")</f>
        <v>Por vir</v>
      </c>
    </row>
    <row r="178">
      <c r="A178" s="7" t="s">
        <v>522</v>
      </c>
      <c r="B178" s="3" t="s">
        <v>523</v>
      </c>
      <c r="C178" s="4" t="str">
        <f>IFERROR(__xludf.DUMMYFUNCTION("GOOGLETRANSLATE(B178,""en"",""hi"")"),"पुरा होना।")</f>
        <v>पुरा होना।</v>
      </c>
      <c r="D178" s="6" t="s">
        <v>524</v>
      </c>
      <c r="E178" s="4" t="str">
        <f>IFERROR(__xludf.DUMMYFUNCTION("GOOGLETRANSLATE(B178,""en"",""fr"")"),"Complété")</f>
        <v>Complété</v>
      </c>
      <c r="F178" s="4" t="str">
        <f>IFERROR(__xludf.DUMMYFUNCTION("GOOGLETRANSLATE(B178,""en"",""tr"")"),"Tamamlanmış")</f>
        <v>Tamamlanmış</v>
      </c>
      <c r="G178" s="4" t="str">
        <f>IFERROR(__xludf.DUMMYFUNCTION("GOOGLETRANSLATE(B178,""en"",""ru"")"),"Завершенный")</f>
        <v>Завершенный</v>
      </c>
      <c r="H178" s="4" t="str">
        <f>IFERROR(__xludf.DUMMYFUNCTION("GOOGLETRANSLATE(B178,""en"",""it"")"),"Completato")</f>
        <v>Completato</v>
      </c>
      <c r="I178" s="4" t="str">
        <f>IFERROR(__xludf.DUMMYFUNCTION("GOOGLETRANSLATE(B178,""en"",""de"")"),"Vollendet")</f>
        <v>Vollendet</v>
      </c>
      <c r="J178" s="4" t="str">
        <f>IFERROR(__xludf.DUMMYFUNCTION("GOOGLETRANSLATE(B178,""en"",""ko"")"),"완전한")</f>
        <v>완전한</v>
      </c>
      <c r="K178" s="4" t="str">
        <f>IFERROR(__xludf.DUMMYFUNCTION("GOOGLETRANSLATE(B178,""en"",""zh"")"),"完全的")</f>
        <v>完全的</v>
      </c>
      <c r="L178" s="4" t="str">
        <f>IFERROR(__xludf.DUMMYFUNCTION("GOOGLETRANSLATE(B178,""en"",""es"")"),"Terminado")</f>
        <v>Terminado</v>
      </c>
      <c r="M178" s="4" t="str">
        <f>IFERROR(__xludf.DUMMYFUNCTION("GOOGLETRANSLATE(B178,""en"",""iw"")"),"הושלם")</f>
        <v>הושלם</v>
      </c>
      <c r="N178" s="4" t="str">
        <f>IFERROR(__xludf.DUMMYFUNCTION("GOOGLETRANSLATE(B178,""en"",""bn"")"),"সম্পন্ন")</f>
        <v>সম্পন্ন</v>
      </c>
      <c r="O178" s="4" t="str">
        <f>IFERROR(__xludf.DUMMYFUNCTION("GOOGLETRANSLATE(B178,""en"",""pt"")"),"Concluído")</f>
        <v>Concluído</v>
      </c>
    </row>
    <row r="179">
      <c r="A179" s="7" t="s">
        <v>525</v>
      </c>
      <c r="B179" s="3" t="s">
        <v>526</v>
      </c>
      <c r="C179" s="4" t="str">
        <f>IFERROR(__xludf.DUMMYFUNCTION("GOOGLETRANSLATE(B179,""en"",""hi"")"),"रद्द")</f>
        <v>रद्द</v>
      </c>
      <c r="D179" s="6" t="s">
        <v>527</v>
      </c>
      <c r="E179" s="4" t="str">
        <f>IFERROR(__xludf.DUMMYFUNCTION("GOOGLETRANSLATE(B179,""en"",""fr"")"),"Annulé")</f>
        <v>Annulé</v>
      </c>
      <c r="F179" s="4" t="str">
        <f>IFERROR(__xludf.DUMMYFUNCTION("GOOGLETRANSLATE(B179,""en"",""tr"")"),"İptal edildi")</f>
        <v>İptal edildi</v>
      </c>
      <c r="G179" s="4" t="str">
        <f>IFERROR(__xludf.DUMMYFUNCTION("GOOGLETRANSLATE(B179,""en"",""ru"")"),"Отменено")</f>
        <v>Отменено</v>
      </c>
      <c r="H179" s="4" t="str">
        <f>IFERROR(__xludf.DUMMYFUNCTION("GOOGLETRANSLATE(B179,""en"",""it"")"),"Annullato")</f>
        <v>Annullato</v>
      </c>
      <c r="I179" s="4" t="str">
        <f>IFERROR(__xludf.DUMMYFUNCTION("GOOGLETRANSLATE(B179,""en"",""de"")"),"Abgesagt")</f>
        <v>Abgesagt</v>
      </c>
      <c r="J179" s="4" t="str">
        <f>IFERROR(__xludf.DUMMYFUNCTION("GOOGLETRANSLATE(B179,""en"",""ko"")"),"취소")</f>
        <v>취소</v>
      </c>
      <c r="K179" s="4" t="str">
        <f>IFERROR(__xludf.DUMMYFUNCTION("GOOGLETRANSLATE(B179,""en"",""zh"")"),"取消")</f>
        <v>取消</v>
      </c>
      <c r="L179" s="4" t="str">
        <f>IFERROR(__xludf.DUMMYFUNCTION("GOOGLETRANSLATE(B179,""en"",""es"")"),"Cancelado")</f>
        <v>Cancelado</v>
      </c>
      <c r="M179" s="4" t="str">
        <f>IFERROR(__xludf.DUMMYFUNCTION("GOOGLETRANSLATE(B179,""en"",""iw"")"),"בּוּטלָה")</f>
        <v>בּוּטלָה</v>
      </c>
      <c r="N179" s="4" t="str">
        <f>IFERROR(__xludf.DUMMYFUNCTION("GOOGLETRANSLATE(B179,""en"",""bn"")"),"বাতিল")</f>
        <v>বাতিল</v>
      </c>
      <c r="O179" s="4" t="str">
        <f>IFERROR(__xludf.DUMMYFUNCTION("GOOGLETRANSLATE(B179,""en"",""pt"")"),"Cancelado")</f>
        <v>Cancelado</v>
      </c>
    </row>
    <row r="180">
      <c r="A180" s="7" t="s">
        <v>528</v>
      </c>
      <c r="B180" s="3" t="s">
        <v>529</v>
      </c>
      <c r="C180" s="4" t="str">
        <f>IFERROR(__xludf.DUMMYFUNCTION("GOOGLETRANSLATE(B180,""en"",""hi"")"),"कार्ड")</f>
        <v>कार्ड</v>
      </c>
      <c r="D180" s="6" t="s">
        <v>530</v>
      </c>
      <c r="E180" s="4" t="str">
        <f>IFERROR(__xludf.DUMMYFUNCTION("GOOGLETRANSLATE(B180,""en"",""fr"")"),"Carte")</f>
        <v>Carte</v>
      </c>
      <c r="F180" s="4" t="str">
        <f>IFERROR(__xludf.DUMMYFUNCTION("GOOGLETRANSLATE(B180,""en"",""tr"")"),"Kart")</f>
        <v>Kart</v>
      </c>
      <c r="G180" s="4" t="str">
        <f>IFERROR(__xludf.DUMMYFUNCTION("GOOGLETRANSLATE(B180,""en"",""ru"")"),"Карта")</f>
        <v>Карта</v>
      </c>
      <c r="H180" s="4" t="str">
        <f>IFERROR(__xludf.DUMMYFUNCTION("GOOGLETRANSLATE(B180,""en"",""it"")"),"Carta")</f>
        <v>Carta</v>
      </c>
      <c r="I180" s="4" t="str">
        <f>IFERROR(__xludf.DUMMYFUNCTION("GOOGLETRANSLATE(B180,""en"",""de"")"),"Karte")</f>
        <v>Karte</v>
      </c>
      <c r="J180" s="4" t="str">
        <f>IFERROR(__xludf.DUMMYFUNCTION("GOOGLETRANSLATE(B180,""en"",""ko"")"),"카드")</f>
        <v>카드</v>
      </c>
      <c r="K180" s="4" t="str">
        <f>IFERROR(__xludf.DUMMYFUNCTION("GOOGLETRANSLATE(B180,""en"",""zh"")"),"卡片")</f>
        <v>卡片</v>
      </c>
      <c r="L180" s="4" t="str">
        <f>IFERROR(__xludf.DUMMYFUNCTION("GOOGLETRANSLATE(B180,""en"",""es"")"),"Tarjeta")</f>
        <v>Tarjeta</v>
      </c>
      <c r="M180" s="4" t="str">
        <f>IFERROR(__xludf.DUMMYFUNCTION("GOOGLETRANSLATE(B180,""en"",""iw"")"),"כַּרְטִיס")</f>
        <v>כַּרְטִיס</v>
      </c>
      <c r="N180" s="4" t="str">
        <f>IFERROR(__xludf.DUMMYFUNCTION("GOOGLETRANSLATE(B180,""en"",""bn"")"),"কার্ড")</f>
        <v>কার্ড</v>
      </c>
      <c r="O180" s="4" t="str">
        <f>IFERROR(__xludf.DUMMYFUNCTION("GOOGLETRANSLATE(B180,""en"",""pt"")"),"Cartão")</f>
        <v>Cartão</v>
      </c>
    </row>
    <row r="181">
      <c r="A181" s="7" t="s">
        <v>531</v>
      </c>
      <c r="B181" s="3" t="s">
        <v>532</v>
      </c>
      <c r="C181" s="4" t="str">
        <f>IFERROR(__xludf.DUMMYFUNCTION("GOOGLETRANSLATE(B181,""en"",""hi"")"),"और लोड करें")</f>
        <v>और लोड करें</v>
      </c>
      <c r="D181" s="6" t="s">
        <v>533</v>
      </c>
      <c r="E181" s="4" t="str">
        <f>IFERROR(__xludf.DUMMYFUNCTION("GOOGLETRANSLATE(B181,""en"",""fr"")"),"Charger plus")</f>
        <v>Charger plus</v>
      </c>
      <c r="F181" s="4" t="str">
        <f>IFERROR(__xludf.DUMMYFUNCTION("GOOGLETRANSLATE(B181,""en"",""tr"")"),"Daha Fazlasını Yükle")</f>
        <v>Daha Fazlasını Yükle</v>
      </c>
      <c r="G181" s="4" t="str">
        <f>IFERROR(__xludf.DUMMYFUNCTION("GOOGLETRANSLATE(B181,""en"",""ru"")"),"Загрузить больше")</f>
        <v>Загрузить больше</v>
      </c>
      <c r="H181" s="4" t="str">
        <f>IFERROR(__xludf.DUMMYFUNCTION("GOOGLETRANSLATE(B181,""en"",""it"")"),"Carica altro")</f>
        <v>Carica altro</v>
      </c>
      <c r="I181" s="4" t="str">
        <f>IFERROR(__xludf.DUMMYFUNCTION("GOOGLETRANSLATE(B181,""en"",""de"")"),"Mehr laden")</f>
        <v>Mehr laden</v>
      </c>
      <c r="J181" s="4" t="str">
        <f>IFERROR(__xludf.DUMMYFUNCTION("GOOGLETRANSLATE(B181,""en"",""ko"")"),"더 보기")</f>
        <v>더 보기</v>
      </c>
      <c r="K181" s="4" t="str">
        <f>IFERROR(__xludf.DUMMYFUNCTION("GOOGLETRANSLATE(B181,""en"",""zh"")"),"加载更多")</f>
        <v>加载更多</v>
      </c>
      <c r="L181" s="4" t="str">
        <f>IFERROR(__xludf.DUMMYFUNCTION("GOOGLETRANSLATE(B181,""en"",""es"")"),"Cargar más")</f>
        <v>Cargar más</v>
      </c>
      <c r="M181" s="4" t="str">
        <f>IFERROR(__xludf.DUMMYFUNCTION("GOOGLETRANSLATE(B181,""en"",""iw"")"),"טען עוד")</f>
        <v>טען עוד</v>
      </c>
      <c r="N181" s="4" t="str">
        <f>IFERROR(__xludf.DUMMYFUNCTION("GOOGLETRANSLATE(B181,""en"",""bn"")"),"আরো লোড")</f>
        <v>আরো লোড</v>
      </c>
      <c r="O181" s="4" t="str">
        <f>IFERROR(__xludf.DUMMYFUNCTION("GOOGLETRANSLATE(B181,""en"",""pt"")"),"Carregar mais")</f>
        <v>Carregar mais</v>
      </c>
    </row>
    <row r="182">
      <c r="A182" s="7" t="s">
        <v>534</v>
      </c>
      <c r="B182" s="3" t="s">
        <v>535</v>
      </c>
      <c r="C182" s="4" t="str">
        <f>IFERROR(__xludf.DUMMYFUNCTION("GOOGLETRANSLATE(B182,""en"",""hi"")"),"स्थान विवरण")</f>
        <v>स्थान विवरण</v>
      </c>
      <c r="D182" s="6" t="s">
        <v>536</v>
      </c>
      <c r="E182" s="4" t="str">
        <f>IFERROR(__xludf.DUMMYFUNCTION("GOOGLETRANSLATE(B182,""en"",""fr"")"),"Détails de l'emplacement")</f>
        <v>Détails de l'emplacement</v>
      </c>
      <c r="F182" s="4" t="str">
        <f>IFERROR(__xludf.DUMMYFUNCTION("GOOGLETRANSLATE(B182,""en"",""tr"")"),"Konum detayları")</f>
        <v>Konum detayları</v>
      </c>
      <c r="G182" s="4" t="str">
        <f>IFERROR(__xludf.DUMMYFUNCTION("GOOGLETRANSLATE(B182,""en"",""ru"")"),"Подробности местоположения")</f>
        <v>Подробности местоположения</v>
      </c>
      <c r="H182" s="4" t="str">
        <f>IFERROR(__xludf.DUMMYFUNCTION("GOOGLETRANSLATE(B182,""en"",""it"")"),"Dettagli sulla posizione")</f>
        <v>Dettagli sulla posizione</v>
      </c>
      <c r="I182" s="4" t="str">
        <f>IFERROR(__xludf.DUMMYFUNCTION("GOOGLETRANSLATE(B182,""en"",""de"")"),"Standortdetails")</f>
        <v>Standortdetails</v>
      </c>
      <c r="J182" s="4" t="str">
        <f>IFERROR(__xludf.DUMMYFUNCTION("GOOGLETRANSLATE(B182,""en"",""ko"")"),"위치 세부 정보")</f>
        <v>위치 세부 정보</v>
      </c>
      <c r="K182" s="4" t="str">
        <f>IFERROR(__xludf.DUMMYFUNCTION("GOOGLETRANSLATE(B182,""en"",""zh"")"),"位置详情")</f>
        <v>位置详情</v>
      </c>
      <c r="L182" s="4" t="str">
        <f>IFERROR(__xludf.DUMMYFUNCTION("GOOGLETRANSLATE(B182,""en"",""es"")"),"Detalles de ubicación")</f>
        <v>Detalles de ubicación</v>
      </c>
      <c r="M182" s="4" t="str">
        <f>IFERROR(__xludf.DUMMYFUNCTION("GOOGLETRANSLATE(B182,""en"",""iw"")"),"פרטי מיקום")</f>
        <v>פרטי מיקום</v>
      </c>
      <c r="N182" s="4" t="str">
        <f>IFERROR(__xludf.DUMMYFUNCTION("GOOGLETRANSLATE(B182,""en"",""bn"")"),"অবস্থানের বিবরণ")</f>
        <v>অবস্থানের বিবরণ</v>
      </c>
      <c r="O182" s="4" t="str">
        <f>IFERROR(__xludf.DUMMYFUNCTION("GOOGLETRANSLATE(B182,""en"",""pt"")"),"Detalhes da localização")</f>
        <v>Detalhes da localização</v>
      </c>
    </row>
    <row r="183">
      <c r="A183" s="7" t="s">
        <v>537</v>
      </c>
      <c r="B183" s="3" t="s">
        <v>538</v>
      </c>
      <c r="C183" s="4" t="str">
        <f>IFERROR(__xludf.DUMMYFUNCTION("GOOGLETRANSLATE(B183,""en"",""hi"")"),"सौंपा गया")</f>
        <v>सौंपा गया</v>
      </c>
      <c r="D183" s="6" t="s">
        <v>539</v>
      </c>
      <c r="E183" s="4" t="str">
        <f>IFERROR(__xludf.DUMMYFUNCTION("GOOGLETRANSLATE(B183,""en"",""fr"")"),"Assigné")</f>
        <v>Assigné</v>
      </c>
      <c r="F183" s="4" t="str">
        <f>IFERROR(__xludf.DUMMYFUNCTION("GOOGLETRANSLATE(B183,""en"",""tr"")"),"Atanmış")</f>
        <v>Atanmış</v>
      </c>
      <c r="G183" s="4" t="str">
        <f>IFERROR(__xludf.DUMMYFUNCTION("GOOGLETRANSLATE(B183,""en"",""ru"")"),"Назначенный")</f>
        <v>Назначенный</v>
      </c>
      <c r="H183" s="4" t="str">
        <f>IFERROR(__xludf.DUMMYFUNCTION("GOOGLETRANSLATE(B183,""en"",""it"")"),"Assegnato")</f>
        <v>Assegnato</v>
      </c>
      <c r="I183" s="4" t="str">
        <f>IFERROR(__xludf.DUMMYFUNCTION("GOOGLETRANSLATE(B183,""en"",""de"")"),"Zugewiesen")</f>
        <v>Zugewiesen</v>
      </c>
      <c r="J183" s="4" t="str">
        <f>IFERROR(__xludf.DUMMYFUNCTION("GOOGLETRANSLATE(B183,""en"",""ko"")"),"할당된")</f>
        <v>할당된</v>
      </c>
      <c r="K183" s="4" t="str">
        <f>IFERROR(__xludf.DUMMYFUNCTION("GOOGLETRANSLATE(B183,""en"",""zh"")"),"已分配")</f>
        <v>已分配</v>
      </c>
      <c r="L183" s="4" t="str">
        <f>IFERROR(__xludf.DUMMYFUNCTION("GOOGLETRANSLATE(B183,""en"",""es"")"),"Asignado")</f>
        <v>Asignado</v>
      </c>
      <c r="M183" s="4" t="str">
        <f>IFERROR(__xludf.DUMMYFUNCTION("GOOGLETRANSLATE(B183,""en"",""iw"")"),"מוּקצֶה")</f>
        <v>מוּקצֶה</v>
      </c>
      <c r="N183" s="4" t="str">
        <f>IFERROR(__xludf.DUMMYFUNCTION("GOOGLETRANSLATE(B183,""en"",""bn"")"),"বরাদ্দ করা হয়েছে")</f>
        <v>বরাদ্দ করা হয়েছে</v>
      </c>
      <c r="O183" s="4" t="str">
        <f>IFERROR(__xludf.DUMMYFUNCTION("GOOGLETRANSLATE(B183,""en"",""pt"")"),"Atribuído")</f>
        <v>Atribuído</v>
      </c>
    </row>
    <row r="184">
      <c r="A184" s="7" t="s">
        <v>540</v>
      </c>
      <c r="B184" s="3" t="s">
        <v>541</v>
      </c>
      <c r="C184" s="4" t="str">
        <f>IFERROR(__xludf.DUMMYFUNCTION("GOOGLETRANSLATE(B184,""en"",""hi"")"),"शुरू कर दिया")</f>
        <v>शुरू कर दिया</v>
      </c>
      <c r="D184" s="6" t="s">
        <v>542</v>
      </c>
      <c r="E184" s="4" t="str">
        <f>IFERROR(__xludf.DUMMYFUNCTION("GOOGLETRANSLATE(B184,""en"",""fr"")"),"Commencé")</f>
        <v>Commencé</v>
      </c>
      <c r="F184" s="4" t="str">
        <f>IFERROR(__xludf.DUMMYFUNCTION("GOOGLETRANSLATE(B184,""en"",""tr"")"),"Başladı")</f>
        <v>Başladı</v>
      </c>
      <c r="G184" s="4" t="str">
        <f>IFERROR(__xludf.DUMMYFUNCTION("GOOGLETRANSLATE(B184,""en"",""ru"")"),"Начал")</f>
        <v>Начал</v>
      </c>
      <c r="H184" s="4" t="str">
        <f>IFERROR(__xludf.DUMMYFUNCTION("GOOGLETRANSLATE(B184,""en"",""it"")"),"Iniziato")</f>
        <v>Iniziato</v>
      </c>
      <c r="I184" s="4" t="str">
        <f>IFERROR(__xludf.DUMMYFUNCTION("GOOGLETRANSLATE(B184,""en"",""de"")"),"Gestartet")</f>
        <v>Gestartet</v>
      </c>
      <c r="J184" s="4" t="str">
        <f>IFERROR(__xludf.DUMMYFUNCTION("GOOGLETRANSLATE(B184,""en"",""ko"")"),"시작함")</f>
        <v>시작함</v>
      </c>
      <c r="K184" s="4" t="str">
        <f>IFERROR(__xludf.DUMMYFUNCTION("GOOGLETRANSLATE(B184,""en"",""zh"")"),"已开始")</f>
        <v>已开始</v>
      </c>
      <c r="L184" s="4" t="str">
        <f>IFERROR(__xludf.DUMMYFUNCTION("GOOGLETRANSLATE(B184,""en"",""es"")"),"Comenzó")</f>
        <v>Comenzó</v>
      </c>
      <c r="M184" s="4" t="str">
        <f>IFERROR(__xludf.DUMMYFUNCTION("GOOGLETRANSLATE(B184,""en"",""iw"")"),"התחיל")</f>
        <v>התחיל</v>
      </c>
      <c r="N184" s="4" t="str">
        <f>IFERROR(__xludf.DUMMYFUNCTION("GOOGLETRANSLATE(B184,""en"",""bn"")"),"শুরু হয়েছে")</f>
        <v>শুরু হয়েছে</v>
      </c>
      <c r="O184" s="4" t="str">
        <f>IFERROR(__xludf.DUMMYFUNCTION("GOOGLETRANSLATE(B184,""en"",""pt"")"),"Iniciado")</f>
        <v>Iniciado</v>
      </c>
    </row>
    <row r="185">
      <c r="A185" s="7" t="s">
        <v>543</v>
      </c>
      <c r="B185" s="3" t="s">
        <v>544</v>
      </c>
      <c r="C185" s="4" t="str">
        <f>IFERROR(__xludf.DUMMYFUNCTION("GOOGLETRANSLATE(B185,""en"",""hi"")"),"उपलब्ध शेष राशि")</f>
        <v>उपलब्ध शेष राशि</v>
      </c>
      <c r="D185" s="6" t="s">
        <v>545</v>
      </c>
      <c r="E185" s="4" t="str">
        <f>IFERROR(__xludf.DUMMYFUNCTION("GOOGLETRANSLATE(B185,""en"",""fr"")"),"Solde disponible")</f>
        <v>Solde disponible</v>
      </c>
      <c r="F185" s="4" t="str">
        <f>IFERROR(__xludf.DUMMYFUNCTION("GOOGLETRANSLATE(B185,""en"",""tr"")"),"Mevcut Bakiye")</f>
        <v>Mevcut Bakiye</v>
      </c>
      <c r="G185" s="4" t="str">
        <f>IFERROR(__xludf.DUMMYFUNCTION("GOOGLETRANSLATE(B185,""en"",""ru"")"),"Доступный баланс")</f>
        <v>Доступный баланс</v>
      </c>
      <c r="H185" s="4" t="str">
        <f>IFERROR(__xludf.DUMMYFUNCTION("GOOGLETRANSLATE(B185,""en"",""it"")"),"Saldo disponibile")</f>
        <v>Saldo disponibile</v>
      </c>
      <c r="I185" s="4" t="str">
        <f>IFERROR(__xludf.DUMMYFUNCTION("GOOGLETRANSLATE(B185,""en"",""de"")"),"Verfügbares Guthaben")</f>
        <v>Verfügbares Guthaben</v>
      </c>
      <c r="J185" s="4" t="str">
        <f>IFERROR(__xludf.DUMMYFUNCTION("GOOGLETRANSLATE(B185,""en"",""ko"")"),"사용 가능 잔액")</f>
        <v>사용 가능 잔액</v>
      </c>
      <c r="K185" s="4" t="str">
        <f>IFERROR(__xludf.DUMMYFUNCTION("GOOGLETRANSLATE(B185,""en"",""zh"")"),"可用余额")</f>
        <v>可用余额</v>
      </c>
      <c r="L185" s="4" t="str">
        <f>IFERROR(__xludf.DUMMYFUNCTION("GOOGLETRANSLATE(B185,""en"",""es"")"),"Saldo disponible")</f>
        <v>Saldo disponible</v>
      </c>
      <c r="M185" s="4" t="str">
        <f>IFERROR(__xludf.DUMMYFUNCTION("GOOGLETRANSLATE(B185,""en"",""iw"")"),"יתרה זמינה")</f>
        <v>יתרה זמינה</v>
      </c>
      <c r="N185" s="4" t="str">
        <f>IFERROR(__xludf.DUMMYFUNCTION("GOOGLETRANSLATE(B185,""en"",""bn"")"),"উপলভ্য ব্যালেন্স")</f>
        <v>উপলভ্য ব্যালেন্স</v>
      </c>
      <c r="O185" s="4" t="str">
        <f>IFERROR(__xludf.DUMMYFUNCTION("GOOGLETRANSLATE(B185,""en"",""pt"")"),"Saldo disponível")</f>
        <v>Saldo disponível</v>
      </c>
    </row>
    <row r="186">
      <c r="A186" s="7" t="s">
        <v>546</v>
      </c>
      <c r="B186" s="3" t="s">
        <v>547</v>
      </c>
      <c r="C186" s="4" t="str">
        <f>IFERROR(__xludf.DUMMYFUNCTION("GOOGLETRANSLATE(B186,""en"",""hi"")"),"पैसे जोड़ें")</f>
        <v>पैसे जोड़ें</v>
      </c>
      <c r="D186" s="6" t="s">
        <v>548</v>
      </c>
      <c r="E186" s="4" t="str">
        <f>IFERROR(__xludf.DUMMYFUNCTION("GOOGLETRANSLATE(B186,""en"",""fr"")"),"Ajouter de l'argent")</f>
        <v>Ajouter de l'argent</v>
      </c>
      <c r="F186" s="4" t="str">
        <f>IFERROR(__xludf.DUMMYFUNCTION("GOOGLETRANSLATE(B186,""en"",""tr"")"),"Para Ekle")</f>
        <v>Para Ekle</v>
      </c>
      <c r="G186" s="4" t="str">
        <f>IFERROR(__xludf.DUMMYFUNCTION("GOOGLETRANSLATE(B186,""en"",""ru"")"),"Добавить деньги")</f>
        <v>Добавить деньги</v>
      </c>
      <c r="H186" s="4" t="str">
        <f>IFERROR(__xludf.DUMMYFUNCTION("GOOGLETRANSLATE(B186,""en"",""it"")"),"Aggiungi denaro")</f>
        <v>Aggiungi denaro</v>
      </c>
      <c r="I186" s="4" t="str">
        <f>IFERROR(__xludf.DUMMYFUNCTION("GOOGLETRANSLATE(B186,""en"",""de"")"),"Geld hinzufügen")</f>
        <v>Geld hinzufügen</v>
      </c>
      <c r="J186" s="4" t="str">
        <f>IFERROR(__xludf.DUMMYFUNCTION("GOOGLETRANSLATE(B186,""en"",""ko"")"),"돈을 추가하세요")</f>
        <v>돈을 추가하세요</v>
      </c>
      <c r="K186" s="4" t="str">
        <f>IFERROR(__xludf.DUMMYFUNCTION("GOOGLETRANSLATE(B186,""en"",""zh"")"),"添加资金")</f>
        <v>添加资金</v>
      </c>
      <c r="L186" s="4" t="str">
        <f>IFERROR(__xludf.DUMMYFUNCTION("GOOGLETRANSLATE(B186,""en"",""es"")"),"Añadir dinero")</f>
        <v>Añadir dinero</v>
      </c>
      <c r="M186" s="4" t="str">
        <f>IFERROR(__xludf.DUMMYFUNCTION("GOOGLETRANSLATE(B186,""en"",""iw"")"),"הוסף כסף")</f>
        <v>הוסף כסף</v>
      </c>
      <c r="N186" s="4" t="str">
        <f>IFERROR(__xludf.DUMMYFUNCTION("GOOGLETRANSLATE(B186,""en"",""bn"")"),"টাকা যোগ করুন")</f>
        <v>টাকা যোগ করুন</v>
      </c>
      <c r="O186" s="4" t="str">
        <f>IFERROR(__xludf.DUMMYFUNCTION("GOOGLETRANSLATE(B186,""en"",""pt"")"),"Adicionar dinheiro")</f>
        <v>Adicionar dinheiro</v>
      </c>
    </row>
    <row r="187">
      <c r="A187" s="7" t="s">
        <v>549</v>
      </c>
      <c r="B187" s="3" t="s">
        <v>550</v>
      </c>
      <c r="C187" s="4" t="str">
        <f>IFERROR(__xludf.DUMMYFUNCTION("GOOGLETRANSLATE(B187,""en"",""hi"")"),"हाल के लेनदेन")</f>
        <v>हाल के लेनदेन</v>
      </c>
      <c r="D187" s="6" t="s">
        <v>551</v>
      </c>
      <c r="E187" s="4" t="str">
        <f>IFERROR(__xludf.DUMMYFUNCTION("GOOGLETRANSLATE(B187,""en"",""fr"")"),"Transactions récentes")</f>
        <v>Transactions récentes</v>
      </c>
      <c r="F187" s="4" t="str">
        <f>IFERROR(__xludf.DUMMYFUNCTION("GOOGLETRANSLATE(B187,""en"",""tr"")"),"Son İşlemler")</f>
        <v>Son İşlemler</v>
      </c>
      <c r="G187" s="4" t="str">
        <f>IFERROR(__xludf.DUMMYFUNCTION("GOOGLETRANSLATE(B187,""en"",""ru"")"),"Недавние транзакции")</f>
        <v>Недавние транзакции</v>
      </c>
      <c r="H187" s="4" t="str">
        <f>IFERROR(__xludf.DUMMYFUNCTION("GOOGLETRANSLATE(B187,""en"",""it"")"),"Transazioni recenti")</f>
        <v>Transazioni recenti</v>
      </c>
      <c r="I187" s="4" t="str">
        <f>IFERROR(__xludf.DUMMYFUNCTION("GOOGLETRANSLATE(B187,""en"",""de"")"),"Letzte Transaktionen")</f>
        <v>Letzte Transaktionen</v>
      </c>
      <c r="J187" s="4" t="str">
        <f>IFERROR(__xludf.DUMMYFUNCTION("GOOGLETRANSLATE(B187,""en"",""ko"")"),"최근 거래")</f>
        <v>최근 거래</v>
      </c>
      <c r="K187" s="4" t="str">
        <f>IFERROR(__xludf.DUMMYFUNCTION("GOOGLETRANSLATE(B187,""en"",""zh"")"),"最近交易")</f>
        <v>最近交易</v>
      </c>
      <c r="L187" s="4" t="str">
        <f>IFERROR(__xludf.DUMMYFUNCTION("GOOGLETRANSLATE(B187,""en"",""es"")"),"Transacciones recientes")</f>
        <v>Transacciones recientes</v>
      </c>
      <c r="M187" s="4" t="str">
        <f>IFERROR(__xludf.DUMMYFUNCTION("GOOGLETRANSLATE(B187,""en"",""iw"")"),"עסקאות אחרונות")</f>
        <v>עסקאות אחרונות</v>
      </c>
      <c r="N187" s="4" t="str">
        <f>IFERROR(__xludf.DUMMYFUNCTION("GOOGLETRANSLATE(B187,""en"",""bn"")"),"সাম্প্রতিক লেনদেন")</f>
        <v>সাম্প্রতিক লেনদেন</v>
      </c>
      <c r="O187" s="4" t="str">
        <f>IFERROR(__xludf.DUMMYFUNCTION("GOOGLETRANSLATE(B187,""en"",""pt"")"),"Transações recentes")</f>
        <v>Transações recentes</v>
      </c>
    </row>
    <row r="188">
      <c r="A188" s="7" t="s">
        <v>552</v>
      </c>
      <c r="B188" s="3" t="s">
        <v>553</v>
      </c>
      <c r="C188" s="4" t="str">
        <f>IFERROR(__xludf.DUMMYFUNCTION("GOOGLETRANSLATE(B188,""en"",""hi"")"),"जमा")</f>
        <v>जमा</v>
      </c>
      <c r="D188" s="6" t="s">
        <v>554</v>
      </c>
      <c r="E188" s="4" t="str">
        <f>IFERROR(__xludf.DUMMYFUNCTION("GOOGLETRANSLATE(B188,""en"",""fr"")"),"Dépôt")</f>
        <v>Dépôt</v>
      </c>
      <c r="F188" s="4" t="str">
        <f>IFERROR(__xludf.DUMMYFUNCTION("GOOGLETRANSLATE(B188,""en"",""tr"")"),"Depozito")</f>
        <v>Depozito</v>
      </c>
      <c r="G188" s="4" t="str">
        <f>IFERROR(__xludf.DUMMYFUNCTION("GOOGLETRANSLATE(B188,""en"",""ru"")"),"Депозит")</f>
        <v>Депозит</v>
      </c>
      <c r="H188" s="4" t="str">
        <f>IFERROR(__xludf.DUMMYFUNCTION("GOOGLETRANSLATE(B188,""en"",""it"")"),"Depositare")</f>
        <v>Depositare</v>
      </c>
      <c r="I188" s="4" t="str">
        <f>IFERROR(__xludf.DUMMYFUNCTION("GOOGLETRANSLATE(B188,""en"",""de"")"),"Kaution")</f>
        <v>Kaution</v>
      </c>
      <c r="J188" s="4" t="str">
        <f>IFERROR(__xludf.DUMMYFUNCTION("GOOGLETRANSLATE(B188,""en"",""ko"")"),"보증금")</f>
        <v>보증금</v>
      </c>
      <c r="K188" s="4" t="str">
        <f>IFERROR(__xludf.DUMMYFUNCTION("GOOGLETRANSLATE(B188,""en"",""zh"")"),"订金")</f>
        <v>订金</v>
      </c>
      <c r="L188" s="4" t="str">
        <f>IFERROR(__xludf.DUMMYFUNCTION("GOOGLETRANSLATE(B188,""en"",""es"")"),"Depósito")</f>
        <v>Depósito</v>
      </c>
      <c r="M188" s="4" t="str">
        <f>IFERROR(__xludf.DUMMYFUNCTION("GOOGLETRANSLATE(B188,""en"",""iw"")"),"לְהַפְקִיד")</f>
        <v>לְהַפְקִיד</v>
      </c>
      <c r="N188" s="4" t="str">
        <f>IFERROR(__xludf.DUMMYFUNCTION("GOOGLETRANSLATE(B188,""en"",""bn"")"),"জমা")</f>
        <v>জমা</v>
      </c>
      <c r="O188" s="4" t="str">
        <f>IFERROR(__xludf.DUMMYFUNCTION("GOOGLETRANSLATE(B188,""en"",""pt"")"),"Depósito")</f>
        <v>Depósito</v>
      </c>
    </row>
    <row r="189">
      <c r="A189" s="16" t="s">
        <v>555</v>
      </c>
      <c r="B189" s="3" t="s">
        <v>556</v>
      </c>
      <c r="C189" s="4" t="str">
        <f>IFERROR(__xludf.DUMMYFUNCTION("GOOGLETRANSLATE(B189,""en"",""hi"")"),"सवारी भुगतान")</f>
        <v>सवारी भुगतान</v>
      </c>
      <c r="D189" s="6" t="s">
        <v>557</v>
      </c>
      <c r="E189" s="4" t="str">
        <f>IFERROR(__xludf.DUMMYFUNCTION("GOOGLETRANSLATE(B189,""en"",""fr"")"),"Paiement du trajet")</f>
        <v>Paiement du trajet</v>
      </c>
      <c r="F189" s="4" t="str">
        <f>IFERROR(__xludf.DUMMYFUNCTION("GOOGLETRANSLATE(B189,""en"",""tr"")"),"Yolculuk Ödemesi")</f>
        <v>Yolculuk Ödemesi</v>
      </c>
      <c r="G189" s="4" t="str">
        <f>IFERROR(__xludf.DUMMYFUNCTION("GOOGLETRANSLATE(B189,""en"",""ru"")"),"Оплата поездки")</f>
        <v>Оплата поездки</v>
      </c>
      <c r="H189" s="4" t="str">
        <f>IFERROR(__xludf.DUMMYFUNCTION("GOOGLETRANSLATE(B189,""en"",""it"")"),"Pagamento della corsa")</f>
        <v>Pagamento della corsa</v>
      </c>
      <c r="I189" s="4" t="str">
        <f>IFERROR(__xludf.DUMMYFUNCTION("GOOGLETRANSLATE(B189,""en"",""de"")"),"Fahrtzahlung")</f>
        <v>Fahrtzahlung</v>
      </c>
      <c r="J189" s="4" t="str">
        <f>IFERROR(__xludf.DUMMYFUNCTION("GOOGLETRANSLATE(B189,""en"",""ko"")"),"승차 요금 결제")</f>
        <v>승차 요금 결제</v>
      </c>
      <c r="K189" s="4" t="str">
        <f>IFERROR(__xludf.DUMMYFUNCTION("GOOGLETRANSLATE(B189,""en"",""zh"")"),"乘车付款")</f>
        <v>乘车付款</v>
      </c>
      <c r="L189" s="4" t="str">
        <f>IFERROR(__xludf.DUMMYFUNCTION("GOOGLETRANSLATE(B189,""en"",""es"")"),"Pago del viaje")</f>
        <v>Pago del viaje</v>
      </c>
      <c r="M189" s="4" t="str">
        <f>IFERROR(__xludf.DUMMYFUNCTION("GOOGLETRANSLATE(B189,""en"",""iw"")"),"תשלום נסיעה")</f>
        <v>תשלום נסיעה</v>
      </c>
      <c r="N189" s="4" t="str">
        <f>IFERROR(__xludf.DUMMYFUNCTION("GOOGLETRANSLATE(B189,""en"",""bn"")"),"রাইড পেমেন্ট")</f>
        <v>রাইড পেমেন্ট</v>
      </c>
      <c r="O189" s="4" t="str">
        <f>IFERROR(__xludf.DUMMYFUNCTION("GOOGLETRANSLATE(B189,""en"",""pt"")"),"Pagamento da viagem")</f>
        <v>Pagamento da viagem</v>
      </c>
    </row>
    <row r="190">
      <c r="A190" s="7" t="s">
        <v>558</v>
      </c>
      <c r="B190" s="3" t="s">
        <v>558</v>
      </c>
      <c r="C190" s="4" t="str">
        <f>IFERROR(__xludf.DUMMYFUNCTION("GOOGLETRANSLATE(B190,""en"",""hi"")"),"जमा किया गया धन")</f>
        <v>जमा किया गया धन</v>
      </c>
      <c r="D190" s="6" t="s">
        <v>559</v>
      </c>
      <c r="E190" s="4" t="str">
        <f>IFERROR(__xludf.DUMMYFUNCTION("GOOGLETRANSLATE(B190,""en"",""fr"")"),"Argent déposé")</f>
        <v>Argent déposé</v>
      </c>
      <c r="F190" s="4" t="str">
        <f>IFERROR(__xludf.DUMMYFUNCTION("GOOGLETRANSLATE(B190,""en"",""tr"")"),"Yatırılan Para")</f>
        <v>Yatırılan Para</v>
      </c>
      <c r="G190" s="4" t="str">
        <f>IFERROR(__xludf.DUMMYFUNCTION("GOOGLETRANSLATE(B190,""en"",""ru"")"),"Деньги внесены")</f>
        <v>Деньги внесены</v>
      </c>
      <c r="H190" s="4" t="str">
        <f>IFERROR(__xludf.DUMMYFUNCTION("GOOGLETRANSLATE(B190,""en"",""it"")"),"Denaro depositato")</f>
        <v>Denaro depositato</v>
      </c>
      <c r="I190" s="4" t="str">
        <f>IFERROR(__xludf.DUMMYFUNCTION("GOOGLETRANSLATE(B190,""en"",""de"")"),"Eingezahltes Geld")</f>
        <v>Eingezahltes Geld</v>
      </c>
      <c r="J190" s="4" t="str">
        <f>IFERROR(__xludf.DUMMYFUNCTION("GOOGLETRANSLATE(B190,""en"",""ko"")"),"입금된 돈")</f>
        <v>입금된 돈</v>
      </c>
      <c r="K190" s="4" t="str">
        <f>IFERROR(__xludf.DUMMYFUNCTION("GOOGLETRANSLATE(B190,""en"",""zh"")"),"存款")</f>
        <v>存款</v>
      </c>
      <c r="L190" s="4" t="str">
        <f>IFERROR(__xludf.DUMMYFUNCTION("GOOGLETRANSLATE(B190,""en"",""es"")"),"Dinero depositado")</f>
        <v>Dinero depositado</v>
      </c>
      <c r="M190" s="4" t="str">
        <f>IFERROR(__xludf.DUMMYFUNCTION("GOOGLETRANSLATE(B190,""en"",""iw"")"),"כסף שהופקד")</f>
        <v>כסף שהופקד</v>
      </c>
      <c r="N190" s="4" t="str">
        <f>IFERROR(__xludf.DUMMYFUNCTION("GOOGLETRANSLATE(B190,""en"",""bn"")"),"টাকা জমা")</f>
        <v>টাকা জমা</v>
      </c>
      <c r="O190" s="4" t="str">
        <f>IFERROR(__xludf.DUMMYFUNCTION("GOOGLETRANSLATE(B190,""en"",""pt"")"),"Dinheiro depositado")</f>
        <v>Dinheiro depositado</v>
      </c>
    </row>
    <row r="191">
      <c r="A191" s="7" t="s">
        <v>560</v>
      </c>
      <c r="B191" s="9" t="s">
        <v>561</v>
      </c>
      <c r="C191" s="4" t="str">
        <f>IFERROR(__xludf.DUMMYFUNCTION("GOOGLETRANSLATE(B191,""en"",""hi"")"),"यहां राशि दर्ज करें")</f>
        <v>यहां राशि दर्ज करें</v>
      </c>
      <c r="D191" s="6" t="s">
        <v>562</v>
      </c>
      <c r="E191" s="4" t="str">
        <f>IFERROR(__xludf.DUMMYFUNCTION("GOOGLETRANSLATE(B191,""en"",""fr"")"),"Entrez le montant ici")</f>
        <v>Entrez le montant ici</v>
      </c>
      <c r="F191" s="4" t="str">
        <f>IFERROR(__xludf.DUMMYFUNCTION("GOOGLETRANSLATE(B191,""en"",""tr"")"),"Tutarı Buraya Girin")</f>
        <v>Tutarı Buraya Girin</v>
      </c>
      <c r="G191" s="4" t="str">
        <f>IFERROR(__xludf.DUMMYFUNCTION("GOOGLETRANSLATE(B191,""en"",""ru"")"),"Введите сумму здесь")</f>
        <v>Введите сумму здесь</v>
      </c>
      <c r="H191" s="4" t="str">
        <f>IFERROR(__xludf.DUMMYFUNCTION("GOOGLETRANSLATE(B191,""en"",""it"")"),"Inserisci l'importo qui")</f>
        <v>Inserisci l'importo qui</v>
      </c>
      <c r="I191" s="4" t="str">
        <f>IFERROR(__xludf.DUMMYFUNCTION("GOOGLETRANSLATE(B191,""en"",""de"")"),"Geben Sie hier den Betrag ein")</f>
        <v>Geben Sie hier den Betrag ein</v>
      </c>
      <c r="J191" s="4" t="str">
        <f>IFERROR(__xludf.DUMMYFUNCTION("GOOGLETRANSLATE(B191,""en"",""ko"")"),"여기에 금액을 입력하세요")</f>
        <v>여기에 금액을 입력하세요</v>
      </c>
      <c r="K191" s="4" t="str">
        <f>IFERROR(__xludf.DUMMYFUNCTION("GOOGLETRANSLATE(B191,""en"",""zh"")"),"在此输入金额")</f>
        <v>在此输入金额</v>
      </c>
      <c r="L191" s="4" t="str">
        <f>IFERROR(__xludf.DUMMYFUNCTION("GOOGLETRANSLATE(B191,""en"",""es"")"),"Ingrese el monto aquí")</f>
        <v>Ingrese el monto aquí</v>
      </c>
      <c r="M191" s="4" t="str">
        <f>IFERROR(__xludf.DUMMYFUNCTION("GOOGLETRANSLATE(B191,""en"",""iw"")"),"הזן סכום כאן")</f>
        <v>הזן סכום כאן</v>
      </c>
      <c r="N191" s="4" t="str">
        <f>IFERROR(__xludf.DUMMYFUNCTION("GOOGLETRANSLATE(B191,""en"",""bn"")"),"এখানে পরিমাণ লিখুন")</f>
        <v>এখানে পরিমাণ লিখুন</v>
      </c>
      <c r="O191" s="4" t="str">
        <f>IFERROR(__xludf.DUMMYFUNCTION("GOOGLETRANSLATE(B191,""en"",""pt"")"),"Insira o valor aqui")</f>
        <v>Insira o valor aqui</v>
      </c>
    </row>
    <row r="192">
      <c r="A192" s="7" t="s">
        <v>563</v>
      </c>
      <c r="B192" s="3" t="s">
        <v>564</v>
      </c>
      <c r="C192" s="4" t="str">
        <f>IFERROR(__xludf.DUMMYFUNCTION("GOOGLETRANSLATE(B192,""en"",""hi"")"),"प्रोफ़ाइल संपादित करें")</f>
        <v>प्रोफ़ाइल संपादित करें</v>
      </c>
      <c r="D192" s="6" t="s">
        <v>565</v>
      </c>
      <c r="E192" s="4" t="str">
        <f>IFERROR(__xludf.DUMMYFUNCTION("GOOGLETRANSLATE(B192,""en"",""fr"")"),"Modifier le profil")</f>
        <v>Modifier le profil</v>
      </c>
      <c r="F192" s="4" t="str">
        <f>IFERROR(__xludf.DUMMYFUNCTION("GOOGLETRANSLATE(B192,""en"",""tr"")"),"Profili Düzenle")</f>
        <v>Profili Düzenle</v>
      </c>
      <c r="G192" s="4" t="str">
        <f>IFERROR(__xludf.DUMMYFUNCTION("GOOGLETRANSLATE(B192,""en"",""ru"")"),"Редактировать профиль")</f>
        <v>Редактировать профиль</v>
      </c>
      <c r="H192" s="4" t="str">
        <f>IFERROR(__xludf.DUMMYFUNCTION("GOOGLETRANSLATE(B192,""en"",""it"")"),"Modifica profilo")</f>
        <v>Modifica profilo</v>
      </c>
      <c r="I192" s="4" t="str">
        <f>IFERROR(__xludf.DUMMYFUNCTION("GOOGLETRANSLATE(B192,""en"",""de"")"),"Profil bearbeiten")</f>
        <v>Profil bearbeiten</v>
      </c>
      <c r="J192" s="4" t="str">
        <f>IFERROR(__xludf.DUMMYFUNCTION("GOOGLETRANSLATE(B192,""en"",""ko"")"),"프로필 편집")</f>
        <v>프로필 편집</v>
      </c>
      <c r="K192" s="4" t="str">
        <f>IFERROR(__xludf.DUMMYFUNCTION("GOOGLETRANSLATE(B192,""en"",""zh"")"),"编辑个人资料")</f>
        <v>编辑个人资料</v>
      </c>
      <c r="L192" s="4" t="str">
        <f>IFERROR(__xludf.DUMMYFUNCTION("GOOGLETRANSLATE(B192,""en"",""es"")"),"Editar perfil")</f>
        <v>Editar perfil</v>
      </c>
      <c r="M192" s="4" t="str">
        <f>IFERROR(__xludf.DUMMYFUNCTION("GOOGLETRANSLATE(B192,""en"",""iw"")"),"ערוך פרופיל")</f>
        <v>ערוך פרופיל</v>
      </c>
      <c r="N192" s="4" t="str">
        <f>IFERROR(__xludf.DUMMYFUNCTION("GOOGLETRANSLATE(B192,""en"",""bn"")"),"প্রোফাইল সম্পাদনা করুন")</f>
        <v>প্রোফাইল সম্পাদনা করুন</v>
      </c>
      <c r="O192" s="4" t="str">
        <f>IFERROR(__xludf.DUMMYFUNCTION("GOOGLETRANSLATE(B192,""en"",""pt"")"),"Editar perfil")</f>
        <v>Editar perfil</v>
      </c>
    </row>
    <row r="193">
      <c r="A193" s="7" t="s">
        <v>566</v>
      </c>
      <c r="B193" s="3" t="s">
        <v>567</v>
      </c>
      <c r="C193" s="4" t="str">
        <f>IFERROR(__xludf.DUMMYFUNCTION("GOOGLETRANSLATE(B193,""en"",""hi"")"),"संपादित छवि")</f>
        <v>संपादित छवि</v>
      </c>
      <c r="D193" s="6" t="s">
        <v>568</v>
      </c>
      <c r="E193" s="4" t="str">
        <f>IFERROR(__xludf.DUMMYFUNCTION("GOOGLETRANSLATE(B193,""en"",""fr"")"),"Modifier l'image")</f>
        <v>Modifier l'image</v>
      </c>
      <c r="F193" s="4" t="str">
        <f>IFERROR(__xludf.DUMMYFUNCTION("GOOGLETRANSLATE(B193,""en"",""tr"")"),"Resmi Düzenle")</f>
        <v>Resmi Düzenle</v>
      </c>
      <c r="G193" s="4" t="str">
        <f>IFERROR(__xludf.DUMMYFUNCTION("GOOGLETRANSLATE(B193,""en"",""ru"")"),"Редактировать изображение")</f>
        <v>Редактировать изображение</v>
      </c>
      <c r="H193" s="4" t="str">
        <f>IFERROR(__xludf.DUMMYFUNCTION("GOOGLETRANSLATE(B193,""en"",""it"")"),"Modifica immagine")</f>
        <v>Modifica immagine</v>
      </c>
      <c r="I193" s="4" t="str">
        <f>IFERROR(__xludf.DUMMYFUNCTION("GOOGLETRANSLATE(B193,""en"",""de"")"),"Bild bearbeiten")</f>
        <v>Bild bearbeiten</v>
      </c>
      <c r="J193" s="4" t="str">
        <f>IFERROR(__xludf.DUMMYFUNCTION("GOOGLETRANSLATE(B193,""en"",""ko"")"),"이미지 편집")</f>
        <v>이미지 편집</v>
      </c>
      <c r="K193" s="4" t="str">
        <f>IFERROR(__xludf.DUMMYFUNCTION("GOOGLETRANSLATE(B193,""en"",""zh"")"),"编辑图片")</f>
        <v>编辑图片</v>
      </c>
      <c r="L193" s="4" t="str">
        <f>IFERROR(__xludf.DUMMYFUNCTION("GOOGLETRANSLATE(B193,""en"",""es"")"),"Editar imagen")</f>
        <v>Editar imagen</v>
      </c>
      <c r="M193" s="4" t="str">
        <f>IFERROR(__xludf.DUMMYFUNCTION("GOOGLETRANSLATE(B193,""en"",""iw"")"),"ערוך תמונה")</f>
        <v>ערוך תמונה</v>
      </c>
      <c r="N193" s="4" t="str">
        <f>IFERROR(__xludf.DUMMYFUNCTION("GOOGLETRANSLATE(B193,""en"",""bn"")"),"ছবি সম্পাদনা করুন")</f>
        <v>ছবি সম্পাদনা করুন</v>
      </c>
      <c r="O193" s="4" t="str">
        <f>IFERROR(__xludf.DUMMYFUNCTION("GOOGLETRANSLATE(B193,""en"",""pt"")"),"Editar imagem")</f>
        <v>Editar imagem</v>
      </c>
    </row>
    <row r="194">
      <c r="A194" s="7" t="s">
        <v>569</v>
      </c>
      <c r="B194" s="3" t="s">
        <v>570</v>
      </c>
      <c r="C194" s="4" t="str">
        <f>IFERROR(__xludf.DUMMYFUNCTION("GOOGLETRANSLATE(B194,""en"",""hi"")"),"वेतन")</f>
        <v>वेतन</v>
      </c>
      <c r="D194" s="6" t="s">
        <v>571</v>
      </c>
      <c r="E194" s="4" t="str">
        <f>IFERROR(__xludf.DUMMYFUNCTION("GOOGLETRANSLATE(B194,""en"",""fr"")"),"Payer")</f>
        <v>Payer</v>
      </c>
      <c r="F194" s="4" t="str">
        <f>IFERROR(__xludf.DUMMYFUNCTION("GOOGLETRANSLATE(B194,""en"",""tr"")"),"Ödemek")</f>
        <v>Ödemek</v>
      </c>
      <c r="G194" s="4" t="str">
        <f>IFERROR(__xludf.DUMMYFUNCTION("GOOGLETRANSLATE(B194,""en"",""ru"")"),"Платить")</f>
        <v>Платить</v>
      </c>
      <c r="H194" s="4" t="str">
        <f>IFERROR(__xludf.DUMMYFUNCTION("GOOGLETRANSLATE(B194,""en"",""it"")"),"Paga")</f>
        <v>Paga</v>
      </c>
      <c r="I194" s="4" t="str">
        <f>IFERROR(__xludf.DUMMYFUNCTION("GOOGLETRANSLATE(B194,""en"",""de"")"),"Zahlen")</f>
        <v>Zahlen</v>
      </c>
      <c r="J194" s="4" t="str">
        <f>IFERROR(__xludf.DUMMYFUNCTION("GOOGLETRANSLATE(B194,""en"",""ko"")"),"지불하다")</f>
        <v>지불하다</v>
      </c>
      <c r="K194" s="4" t="str">
        <f>IFERROR(__xludf.DUMMYFUNCTION("GOOGLETRANSLATE(B194,""en"",""zh"")"),"支付")</f>
        <v>支付</v>
      </c>
      <c r="L194" s="4" t="str">
        <f>IFERROR(__xludf.DUMMYFUNCTION("GOOGLETRANSLATE(B194,""en"",""es"")"),"Pagar")</f>
        <v>Pagar</v>
      </c>
      <c r="M194" s="4" t="str">
        <f>IFERROR(__xludf.DUMMYFUNCTION("GOOGLETRANSLATE(B194,""en"",""iw"")"),"לְשַׁלֵם")</f>
        <v>לְשַׁלֵם</v>
      </c>
      <c r="N194" s="4" t="str">
        <f>IFERROR(__xludf.DUMMYFUNCTION("GOOGLETRANSLATE(B194,""en"",""bn"")"),"বেতন")</f>
        <v>বেতন</v>
      </c>
      <c r="O194" s="4" t="str">
        <f>IFERROR(__xludf.DUMMYFUNCTION("GOOGLETRANSLATE(B194,""en"",""pt"")"),"Pagar")</f>
        <v>Pagar</v>
      </c>
    </row>
    <row r="195">
      <c r="A195" s="7" t="s">
        <v>572</v>
      </c>
      <c r="B195" s="3" t="s">
        <v>573</v>
      </c>
      <c r="C195" s="4" t="str">
        <f>IFERROR(__xludf.DUMMYFUNCTION("GOOGLETRANSLATE(B195,""en"",""hi"")"),"कुछ ग़लत हुआ, पुनः प्रयास करें")</f>
        <v>कुछ ग़लत हुआ, पुनः प्रयास करें</v>
      </c>
      <c r="D195" s="6" t="s">
        <v>574</v>
      </c>
      <c r="E195" s="4" t="str">
        <f>IFERROR(__xludf.DUMMYFUNCTION("GOOGLETRANSLATE(B195,""en"",""fr"")"),"Une erreur s'est produite, réessayez")</f>
        <v>Une erreur s'est produite, réessayez</v>
      </c>
      <c r="F195" s="4" t="str">
        <f>IFERROR(__xludf.DUMMYFUNCTION("GOOGLETRANSLATE(B195,""en"",""tr"")"),"Bir Sorun Oluştu, Tekrar Deneyin")</f>
        <v>Bir Sorun Oluştu, Tekrar Deneyin</v>
      </c>
      <c r="G195" s="4" t="str">
        <f>IFERROR(__xludf.DUMMYFUNCTION("GOOGLETRANSLATE(B195,""en"",""ru"")"),"Что-то пошло не так. Попробуйте еще раз.")</f>
        <v>Что-то пошло не так. Попробуйте еще раз.</v>
      </c>
      <c r="H195" s="4" t="str">
        <f>IFERROR(__xludf.DUMMYFUNCTION("GOOGLETRANSLATE(B195,""en"",""it"")"),"Qualcosa è andato storto, riprova")</f>
        <v>Qualcosa è andato storto, riprova</v>
      </c>
      <c r="I195" s="4" t="str">
        <f>IFERROR(__xludf.DUMMYFUNCTION("GOOGLETRANSLATE(B195,""en"",""de"")"),"Etwas ist schiefgelaufen. Versuchen Sie es erneut.")</f>
        <v>Etwas ist schiefgelaufen. Versuchen Sie es erneut.</v>
      </c>
      <c r="J195" s="4" t="str">
        <f>IFERROR(__xludf.DUMMYFUNCTION("GOOGLETRANSLATE(B195,""en"",""ko"")"),"문제가 발생했습니다. 다시 시도하세요.")</f>
        <v>문제가 발생했습니다. 다시 시도하세요.</v>
      </c>
      <c r="K195" s="4" t="str">
        <f>IFERROR(__xludf.DUMMYFUNCTION("GOOGLETRANSLATE(B195,""en"",""zh"")"),"出了点问题，请重试")</f>
        <v>出了点问题，请重试</v>
      </c>
      <c r="L195" s="4" t="str">
        <f>IFERROR(__xludf.DUMMYFUNCTION("GOOGLETRANSLATE(B195,""en"",""es"")"),"Algo salió mal, inténtalo de nuevo")</f>
        <v>Algo salió mal, inténtalo de nuevo</v>
      </c>
      <c r="M195" s="4" t="str">
        <f>IFERROR(__xludf.DUMMYFUNCTION("GOOGLETRANSLATE(B195,""en"",""iw"")"),"משהו השתבש, נסה שוב")</f>
        <v>משהו השתבש, נסה שוב</v>
      </c>
      <c r="N195" s="4" t="str">
        <f>IFERROR(__xludf.DUMMYFUNCTION("GOOGLETRANSLATE(B195,""en"",""bn"")"),"কিছু ভুল হয়েছে, আবার চেষ্টা করুন")</f>
        <v>কিছু ভুল হয়েছে, আবার চেষ্টা করুন</v>
      </c>
      <c r="O195" s="4" t="str">
        <f>IFERROR(__xludf.DUMMYFUNCTION("GOOGLETRANSLATE(B195,""en"",""pt"")"),"Algo deu errado, tente novamente")</f>
        <v>Algo deu errado, tente novamente</v>
      </c>
    </row>
    <row r="196">
      <c r="A196" s="7" t="s">
        <v>575</v>
      </c>
      <c r="B196" s="3" t="s">
        <v>576</v>
      </c>
      <c r="C196" s="4" t="str">
        <f>IFERROR(__xludf.DUMMYFUNCTION("GOOGLETRANSLATE(B196,""en"",""hi"")"),"भुगतान सफल")</f>
        <v>भुगतान सफल</v>
      </c>
      <c r="D196" s="6" t="s">
        <v>577</v>
      </c>
      <c r="E196" s="4" t="str">
        <f>IFERROR(__xludf.DUMMYFUNCTION("GOOGLETRANSLATE(B196,""en"",""fr"")"),"Paiement réussi")</f>
        <v>Paiement réussi</v>
      </c>
      <c r="F196" s="4" t="str">
        <f>IFERROR(__xludf.DUMMYFUNCTION("GOOGLETRANSLATE(B196,""en"",""tr"")"),"Ödeme başarılı")</f>
        <v>Ödeme başarılı</v>
      </c>
      <c r="G196" s="4" t="str">
        <f>IFERROR(__xludf.DUMMYFUNCTION("GOOGLETRANSLATE(B196,""en"",""ru"")"),"Платеж успешен")</f>
        <v>Платеж успешен</v>
      </c>
      <c r="H196" s="4" t="str">
        <f>IFERROR(__xludf.DUMMYFUNCTION("GOOGLETRANSLATE(B196,""en"",""it"")"),"Pagamento effettuato con successo")</f>
        <v>Pagamento effettuato con successo</v>
      </c>
      <c r="I196" s="4" t="str">
        <f>IFERROR(__xludf.DUMMYFUNCTION("GOOGLETRANSLATE(B196,""en"",""de"")"),"Zahlung erfolgreich")</f>
        <v>Zahlung erfolgreich</v>
      </c>
      <c r="J196" s="4" t="str">
        <f>IFERROR(__xludf.DUMMYFUNCTION("GOOGLETRANSLATE(B196,""en"",""ko"")"),"결제 성공")</f>
        <v>결제 성공</v>
      </c>
      <c r="K196" s="4" t="str">
        <f>IFERROR(__xludf.DUMMYFUNCTION("GOOGLETRANSLATE(B196,""en"",""zh"")"),"付款成功")</f>
        <v>付款成功</v>
      </c>
      <c r="L196" s="4" t="str">
        <f>IFERROR(__xludf.DUMMYFUNCTION("GOOGLETRANSLATE(B196,""en"",""es"")"),"Pago exitoso")</f>
        <v>Pago exitoso</v>
      </c>
      <c r="M196" s="4" t="str">
        <f>IFERROR(__xludf.DUMMYFUNCTION("GOOGLETRANSLATE(B196,""en"",""iw"")"),"התשלום הצליח")</f>
        <v>התשלום הצליח</v>
      </c>
      <c r="N196" s="4" t="str">
        <f>IFERROR(__xludf.DUMMYFUNCTION("GOOGLETRANSLATE(B196,""en"",""bn"")"),"পেমেন্ট সফল হয়েছে")</f>
        <v>পেমেন্ট সফল হয়েছে</v>
      </c>
      <c r="O196" s="4" t="str">
        <f>IFERROR(__xludf.DUMMYFUNCTION("GOOGLETRANSLATE(B196,""en"",""pt"")"),"Pagamento efetuado com sucesso")</f>
        <v>Pagamento efetuado com sucesso</v>
      </c>
    </row>
    <row r="197">
      <c r="A197" s="7" t="s">
        <v>578</v>
      </c>
      <c r="B197" s="3" t="s">
        <v>579</v>
      </c>
      <c r="C197" s="4" t="str">
        <f>IFERROR(__xludf.DUMMYFUNCTION("GOOGLETRANSLATE(B197,""en"",""hi"")"),"कैमरा")</f>
        <v>कैमरा</v>
      </c>
      <c r="D197" s="6" t="s">
        <v>580</v>
      </c>
      <c r="E197" s="4" t="str">
        <f>IFERROR(__xludf.DUMMYFUNCTION("GOOGLETRANSLATE(B197,""en"",""fr"")"),"Caméra")</f>
        <v>Caméra</v>
      </c>
      <c r="F197" s="4" t="str">
        <f>IFERROR(__xludf.DUMMYFUNCTION("GOOGLETRANSLATE(B197,""en"",""tr"")"),"Kamera")</f>
        <v>Kamera</v>
      </c>
      <c r="G197" s="4" t="str">
        <f>IFERROR(__xludf.DUMMYFUNCTION("GOOGLETRANSLATE(B197,""en"",""ru"")"),"Камера")</f>
        <v>Камера</v>
      </c>
      <c r="H197" s="4" t="str">
        <f>IFERROR(__xludf.DUMMYFUNCTION("GOOGLETRANSLATE(B197,""en"",""it"")"),"Telecamera")</f>
        <v>Telecamera</v>
      </c>
      <c r="I197" s="4" t="str">
        <f>IFERROR(__xludf.DUMMYFUNCTION("GOOGLETRANSLATE(B197,""en"",""de"")"),"Kamera")</f>
        <v>Kamera</v>
      </c>
      <c r="J197" s="4" t="str">
        <f>IFERROR(__xludf.DUMMYFUNCTION("GOOGLETRANSLATE(B197,""en"",""ko"")"),"카메라")</f>
        <v>카메라</v>
      </c>
      <c r="K197" s="4" t="str">
        <f>IFERROR(__xludf.DUMMYFUNCTION("GOOGLETRANSLATE(B197,""en"",""zh"")"),"相机")</f>
        <v>相机</v>
      </c>
      <c r="L197" s="4" t="str">
        <f>IFERROR(__xludf.DUMMYFUNCTION("GOOGLETRANSLATE(B197,""en"",""es"")"),"Cámara")</f>
        <v>Cámara</v>
      </c>
      <c r="M197" s="4" t="str">
        <f>IFERROR(__xludf.DUMMYFUNCTION("GOOGLETRANSLATE(B197,""en"",""iw"")"),"מַצלֵמָה")</f>
        <v>מַצלֵמָה</v>
      </c>
      <c r="N197" s="4" t="str">
        <f>IFERROR(__xludf.DUMMYFUNCTION("GOOGLETRANSLATE(B197,""en"",""bn"")"),"ক্যামেরা")</f>
        <v>ক্যামেরা</v>
      </c>
      <c r="O197" s="4" t="str">
        <f>IFERROR(__xludf.DUMMYFUNCTION("GOOGLETRANSLATE(B197,""en"",""pt"")"),"Câmera")</f>
        <v>Câmera</v>
      </c>
    </row>
    <row r="198">
      <c r="A198" s="7" t="s">
        <v>581</v>
      </c>
      <c r="B198" s="3" t="s">
        <v>582</v>
      </c>
      <c r="C198" s="4" t="str">
        <f>IFERROR(__xludf.DUMMYFUNCTION("GOOGLETRANSLATE(B198,""en"",""hi"")"),"गैलरी")</f>
        <v>गैलरी</v>
      </c>
      <c r="D198" s="6" t="s">
        <v>583</v>
      </c>
      <c r="E198" s="4" t="str">
        <f>IFERROR(__xludf.DUMMYFUNCTION("GOOGLETRANSLATE(B198,""en"",""fr"")"),"Galerie")</f>
        <v>Galerie</v>
      </c>
      <c r="F198" s="4" t="str">
        <f>IFERROR(__xludf.DUMMYFUNCTION("GOOGLETRANSLATE(B198,""en"",""tr"")"),"Galeri")</f>
        <v>Galeri</v>
      </c>
      <c r="G198" s="4" t="str">
        <f>IFERROR(__xludf.DUMMYFUNCTION("GOOGLETRANSLATE(B198,""en"",""ru"")"),"Галерея")</f>
        <v>Галерея</v>
      </c>
      <c r="H198" s="4" t="str">
        <f>IFERROR(__xludf.DUMMYFUNCTION("GOOGLETRANSLATE(B198,""en"",""it"")"),"Galleria")</f>
        <v>Galleria</v>
      </c>
      <c r="I198" s="4" t="str">
        <f>IFERROR(__xludf.DUMMYFUNCTION("GOOGLETRANSLATE(B198,""en"",""de"")"),"Galerie")</f>
        <v>Galerie</v>
      </c>
      <c r="J198" s="4" t="str">
        <f>IFERROR(__xludf.DUMMYFUNCTION("GOOGLETRANSLATE(B198,""en"",""ko"")"),"갱도")</f>
        <v>갱도</v>
      </c>
      <c r="K198" s="4" t="str">
        <f>IFERROR(__xludf.DUMMYFUNCTION("GOOGLETRANSLATE(B198,""en"",""zh"")"),"画廊")</f>
        <v>画廊</v>
      </c>
      <c r="L198" s="4" t="str">
        <f>IFERROR(__xludf.DUMMYFUNCTION("GOOGLETRANSLATE(B198,""en"",""es"")"),"Galería")</f>
        <v>Galería</v>
      </c>
      <c r="M198" s="4" t="str">
        <f>IFERROR(__xludf.DUMMYFUNCTION("GOOGLETRANSLATE(B198,""en"",""iw"")"),"גָלֶרֵיָה")</f>
        <v>גָלֶרֵיָה</v>
      </c>
      <c r="N198" s="4" t="str">
        <f>IFERROR(__xludf.DUMMYFUNCTION("GOOGLETRANSLATE(B198,""en"",""bn"")"),"গ্যালারি")</f>
        <v>গ্যালারি</v>
      </c>
      <c r="O198" s="4" t="str">
        <f>IFERROR(__xludf.DUMMYFUNCTION("GOOGLETRANSLATE(B198,""en"",""pt"")"),"Galeria")</f>
        <v>Galeria</v>
      </c>
    </row>
    <row r="199">
      <c r="A199" s="7" t="s">
        <v>584</v>
      </c>
      <c r="B199" s="9" t="s">
        <v>585</v>
      </c>
      <c r="C199" s="4" t="str">
        <f>IFERROR(__xludf.DUMMYFUNCTION("GOOGLETRANSLATE(B199,""en"",""hi"")"),"वाहन जानकारी अपडेट करें")</f>
        <v>वाहन जानकारी अपडेट करें</v>
      </c>
      <c r="D199" s="6" t="s">
        <v>586</v>
      </c>
      <c r="E199" s="4" t="str">
        <f>IFERROR(__xludf.DUMMYFUNCTION("GOOGLETRANSLATE(B199,""en"",""fr"")"),"Mettre à jour les informations du véhicule")</f>
        <v>Mettre à jour les informations du véhicule</v>
      </c>
      <c r="F199" s="4" t="str">
        <f>IFERROR(__xludf.DUMMYFUNCTION("GOOGLETRANSLATE(B199,""en"",""tr"")"),"Araç Bilgilerini Güncelle")</f>
        <v>Araç Bilgilerini Güncelle</v>
      </c>
      <c r="G199" s="4" t="str">
        <f>IFERROR(__xludf.DUMMYFUNCTION("GOOGLETRANSLATE(B199,""en"",""ru"")"),"Обновить информацию о транспортном средстве")</f>
        <v>Обновить информацию о транспортном средстве</v>
      </c>
      <c r="H199" s="4" t="str">
        <f>IFERROR(__xludf.DUMMYFUNCTION("GOOGLETRANSLATE(B199,""en"",""it"")"),"Aggiorna le informazioni del veicolo")</f>
        <v>Aggiorna le informazioni del veicolo</v>
      </c>
      <c r="I199" s="4" t="str">
        <f>IFERROR(__xludf.DUMMYFUNCTION("GOOGLETRANSLATE(B199,""en"",""de"")"),"Fahrzeuginformationen aktualisieren")</f>
        <v>Fahrzeuginformationen aktualisieren</v>
      </c>
      <c r="J199" s="4" t="str">
        <f>IFERROR(__xludf.DUMMYFUNCTION("GOOGLETRANSLATE(B199,""en"",""ko"")"),"차량 정보 업데이트")</f>
        <v>차량 정보 업데이트</v>
      </c>
      <c r="K199" s="4" t="str">
        <f>IFERROR(__xludf.DUMMYFUNCTION("GOOGLETRANSLATE(B199,""en"",""zh"")"),"更新车辆信息")</f>
        <v>更新车辆信息</v>
      </c>
      <c r="L199" s="4" t="str">
        <f>IFERROR(__xludf.DUMMYFUNCTION("GOOGLETRANSLATE(B199,""en"",""es"")"),"Actualizar la información del vehículo")</f>
        <v>Actualizar la información del vehículo</v>
      </c>
      <c r="M199" s="4" t="str">
        <f>IFERROR(__xludf.DUMMYFUNCTION("GOOGLETRANSLATE(B199,""en"",""iw"")"),"עדכון פרטי הרכב")</f>
        <v>עדכון פרטי הרכב</v>
      </c>
      <c r="N199" s="4" t="str">
        <f>IFERROR(__xludf.DUMMYFUNCTION("GOOGLETRANSLATE(B199,""en"",""bn"")"),"যানবাহনের তথ্য আপডেট করুন")</f>
        <v>যানবাহনের তথ্য আপডেট করুন</v>
      </c>
      <c r="O199" s="4" t="str">
        <f>IFERROR(__xludf.DUMMYFUNCTION("GOOGLETRANSLATE(B199,""en"",""pt"")"),"Atualizar informações do veículo")</f>
        <v>Atualizar informações do veículo</v>
      </c>
    </row>
    <row r="200">
      <c r="A200" s="7" t="s">
        <v>587</v>
      </c>
      <c r="B200" s="9" t="s">
        <v>588</v>
      </c>
      <c r="C200" s="4" t="str">
        <f>IFERROR(__xludf.DUMMYFUNCTION("GOOGLETRANSLATE(B200,""en"",""hi"")"),"वाहन निर्माता")</f>
        <v>वाहन निर्माता</v>
      </c>
      <c r="D200" s="6" t="s">
        <v>589</v>
      </c>
      <c r="E200" s="4" t="str">
        <f>IFERROR(__xludf.DUMMYFUNCTION("GOOGLETRANSLATE(B200,""en"",""fr"")"),"Marque du véhicule")</f>
        <v>Marque du véhicule</v>
      </c>
      <c r="F200" s="4" t="str">
        <f>IFERROR(__xludf.DUMMYFUNCTION("GOOGLETRANSLATE(B200,""en"",""tr"")"),"Araç Markası")</f>
        <v>Araç Markası</v>
      </c>
      <c r="G200" s="4" t="str">
        <f>IFERROR(__xludf.DUMMYFUNCTION("GOOGLETRANSLATE(B200,""en"",""ru"")"),"Марка автомобиля")</f>
        <v>Марка автомобиля</v>
      </c>
      <c r="H200" s="4" t="str">
        <f>IFERROR(__xludf.DUMMYFUNCTION("GOOGLETRANSLATE(B200,""en"",""it"")"),"Marca del veicolo")</f>
        <v>Marca del veicolo</v>
      </c>
      <c r="I200" s="4" t="str">
        <f>IFERROR(__xludf.DUMMYFUNCTION("GOOGLETRANSLATE(B200,""en"",""de"")"),"Fahrzeugmarke")</f>
        <v>Fahrzeugmarke</v>
      </c>
      <c r="J200" s="4" t="str">
        <f>IFERROR(__xludf.DUMMYFUNCTION("GOOGLETRANSLATE(B200,""en"",""ko"")"),"차량 제조사")</f>
        <v>차량 제조사</v>
      </c>
      <c r="K200" s="4" t="str">
        <f>IFERROR(__xludf.DUMMYFUNCTION("GOOGLETRANSLATE(B200,""en"",""zh"")"),"车辆品牌")</f>
        <v>车辆品牌</v>
      </c>
      <c r="L200" s="4" t="str">
        <f>IFERROR(__xludf.DUMMYFUNCTION("GOOGLETRANSLATE(B200,""en"",""es"")"),"Marca del vehículo")</f>
        <v>Marca del vehículo</v>
      </c>
      <c r="M200" s="4" t="str">
        <f>IFERROR(__xludf.DUMMYFUNCTION("GOOGLETRANSLATE(B200,""en"",""iw"")"),"יצרן רכב")</f>
        <v>יצרן רכב</v>
      </c>
      <c r="N200" s="4" t="str">
        <f>IFERROR(__xludf.DUMMYFUNCTION("GOOGLETRANSLATE(B200,""en"",""bn"")"),"যানবাহন তৈরি করুন")</f>
        <v>যানবাহন তৈরি করুন</v>
      </c>
      <c r="O200" s="4" t="str">
        <f>IFERROR(__xludf.DUMMYFUNCTION("GOOGLETRANSLATE(B200,""en"",""pt"")"),"Marca do veículo")</f>
        <v>Marca do veículo</v>
      </c>
    </row>
    <row r="201">
      <c r="A201" s="7" t="s">
        <v>590</v>
      </c>
      <c r="B201" s="3" t="s">
        <v>591</v>
      </c>
      <c r="C201" s="4" t="str">
        <f>IFERROR(__xludf.DUMMYFUNCTION("GOOGLETRANSLATE(B201,""en"",""hi"")"),"वाहन मॉडल")</f>
        <v>वाहन मॉडल</v>
      </c>
      <c r="D201" s="6" t="s">
        <v>592</v>
      </c>
      <c r="E201" s="4" t="str">
        <f>IFERROR(__xludf.DUMMYFUNCTION("GOOGLETRANSLATE(B201,""en"",""fr"")"),"Modèle de véhicule")</f>
        <v>Modèle de véhicule</v>
      </c>
      <c r="F201" s="4" t="str">
        <f>IFERROR(__xludf.DUMMYFUNCTION("GOOGLETRANSLATE(B201,""en"",""tr"")"),"Araç Modeli")</f>
        <v>Araç Modeli</v>
      </c>
      <c r="G201" s="4" t="str">
        <f>IFERROR(__xludf.DUMMYFUNCTION("GOOGLETRANSLATE(B201,""en"",""ru"")"),"Модель транспортного средства")</f>
        <v>Модель транспортного средства</v>
      </c>
      <c r="H201" s="4" t="str">
        <f>IFERROR(__xludf.DUMMYFUNCTION("GOOGLETRANSLATE(B201,""en"",""it"")"),"Modello del veicolo")</f>
        <v>Modello del veicolo</v>
      </c>
      <c r="I201" s="4" t="str">
        <f>IFERROR(__xludf.DUMMYFUNCTION("GOOGLETRANSLATE(B201,""en"",""de"")"),"Fahrzeugmodell")</f>
        <v>Fahrzeugmodell</v>
      </c>
      <c r="J201" s="4" t="str">
        <f>IFERROR(__xludf.DUMMYFUNCTION("GOOGLETRANSLATE(B201,""en"",""ko"")"),"차량 모델")</f>
        <v>차량 모델</v>
      </c>
      <c r="K201" s="4" t="str">
        <f>IFERROR(__xludf.DUMMYFUNCTION("GOOGLETRANSLATE(B201,""en"",""zh"")"),"车型")</f>
        <v>车型</v>
      </c>
      <c r="L201" s="4" t="str">
        <f>IFERROR(__xludf.DUMMYFUNCTION("GOOGLETRANSLATE(B201,""en"",""es"")"),"Modelo de vehículo")</f>
        <v>Modelo de vehículo</v>
      </c>
      <c r="M201" s="4" t="str">
        <f>IFERROR(__xludf.DUMMYFUNCTION("GOOGLETRANSLATE(B201,""en"",""iw"")"),"דגם רכב")</f>
        <v>דגם רכב</v>
      </c>
      <c r="N201" s="4" t="str">
        <f>IFERROR(__xludf.DUMMYFUNCTION("GOOGLETRANSLATE(B201,""en"",""bn"")"),"গাড়ির মডেল")</f>
        <v>গাড়ির মডেল</v>
      </c>
      <c r="O201" s="4" t="str">
        <f>IFERROR(__xludf.DUMMYFUNCTION("GOOGLETRANSLATE(B201,""en"",""pt"")"),"Modelo do veículo")</f>
        <v>Modelo do veículo</v>
      </c>
    </row>
    <row r="202">
      <c r="A202" s="7" t="s">
        <v>593</v>
      </c>
      <c r="B202" s="3" t="s">
        <v>594</v>
      </c>
      <c r="C202" s="4" t="str">
        <f>IFERROR(__xludf.DUMMYFUNCTION("GOOGLETRANSLATE(B202,""en"",""hi"")"),"वाहन वर्ष")</f>
        <v>वाहन वर्ष</v>
      </c>
      <c r="D202" s="6" t="s">
        <v>595</v>
      </c>
      <c r="E202" s="4" t="str">
        <f>IFERROR(__xludf.DUMMYFUNCTION("GOOGLETRANSLATE(B202,""en"",""fr"")"),"Année du véhicule")</f>
        <v>Année du véhicule</v>
      </c>
      <c r="F202" s="4" t="str">
        <f>IFERROR(__xludf.DUMMYFUNCTION("GOOGLETRANSLATE(B202,""en"",""tr"")"),"Araç Yılı")</f>
        <v>Araç Yılı</v>
      </c>
      <c r="G202" s="4" t="str">
        <f>IFERROR(__xludf.DUMMYFUNCTION("GOOGLETRANSLATE(B202,""en"",""ru"")"),"Год выпуска автомобиля")</f>
        <v>Год выпуска автомобиля</v>
      </c>
      <c r="H202" s="4" t="str">
        <f>IFERROR(__xludf.DUMMYFUNCTION("GOOGLETRANSLATE(B202,""en"",""it"")"),"Anno del veicolo")</f>
        <v>Anno del veicolo</v>
      </c>
      <c r="I202" s="4" t="str">
        <f>IFERROR(__xludf.DUMMYFUNCTION("GOOGLETRANSLATE(B202,""en"",""de"")"),"Fahrzeugjahr")</f>
        <v>Fahrzeugjahr</v>
      </c>
      <c r="J202" s="4" t="str">
        <f>IFERROR(__xludf.DUMMYFUNCTION("GOOGLETRANSLATE(B202,""en"",""ko"")"),"차량 연식")</f>
        <v>차량 연식</v>
      </c>
      <c r="K202" s="4" t="str">
        <f>IFERROR(__xludf.DUMMYFUNCTION("GOOGLETRANSLATE(B202,""en"",""zh"")"),"车辆年份")</f>
        <v>车辆年份</v>
      </c>
      <c r="L202" s="4" t="str">
        <f>IFERROR(__xludf.DUMMYFUNCTION("GOOGLETRANSLATE(B202,""en"",""es"")"),"Año del vehículo")</f>
        <v>Año del vehículo</v>
      </c>
      <c r="M202" s="4" t="str">
        <f>IFERROR(__xludf.DUMMYFUNCTION("GOOGLETRANSLATE(B202,""en"",""iw"")"),"שנת רכב")</f>
        <v>שנת רכב</v>
      </c>
      <c r="N202" s="4" t="str">
        <f>IFERROR(__xludf.DUMMYFUNCTION("GOOGLETRANSLATE(B202,""en"",""bn"")"),"যানবাহনের বছর")</f>
        <v>যানবাহনের বছর</v>
      </c>
      <c r="O202" s="4" t="str">
        <f>IFERROR(__xludf.DUMMYFUNCTION("GOOGLETRANSLATE(B202,""en"",""pt"")"),"Ano do veículo")</f>
        <v>Ano do veículo</v>
      </c>
    </row>
    <row r="203">
      <c r="A203" s="7" t="s">
        <v>596</v>
      </c>
      <c r="B203" s="3" t="s">
        <v>597</v>
      </c>
      <c r="C203" s="4" t="str">
        <f>IFERROR(__xludf.DUMMYFUNCTION("GOOGLETRANSLATE(B203,""en"",""hi"")"),"वाहन का प्रकार")</f>
        <v>वाहन का प्रकार</v>
      </c>
      <c r="D203" s="6" t="s">
        <v>598</v>
      </c>
      <c r="E203" s="4" t="str">
        <f>IFERROR(__xludf.DUMMYFUNCTION("GOOGLETRANSLATE(B203,""en"",""fr"")"),"Type de véhicule")</f>
        <v>Type de véhicule</v>
      </c>
      <c r="F203" s="4" t="str">
        <f>IFERROR(__xludf.DUMMYFUNCTION("GOOGLETRANSLATE(B203,""en"",""tr"")"),"Araç Tipi")</f>
        <v>Araç Tipi</v>
      </c>
      <c r="G203" s="4" t="str">
        <f>IFERROR(__xludf.DUMMYFUNCTION("GOOGLETRANSLATE(B203,""en"",""ru"")"),"Тип транспортного средства")</f>
        <v>Тип транспортного средства</v>
      </c>
      <c r="H203" s="4" t="str">
        <f>IFERROR(__xludf.DUMMYFUNCTION("GOOGLETRANSLATE(B203,""en"",""it"")"),"Tipo di veicolo")</f>
        <v>Tipo di veicolo</v>
      </c>
      <c r="I203" s="4" t="str">
        <f>IFERROR(__xludf.DUMMYFUNCTION("GOOGLETRANSLATE(B203,""en"",""de"")"),"Fahrzeugtyp")</f>
        <v>Fahrzeugtyp</v>
      </c>
      <c r="J203" s="4" t="str">
        <f>IFERROR(__xludf.DUMMYFUNCTION("GOOGLETRANSLATE(B203,""en"",""ko"")"),"차량 유형")</f>
        <v>차량 유형</v>
      </c>
      <c r="K203" s="4" t="str">
        <f>IFERROR(__xludf.DUMMYFUNCTION("GOOGLETRANSLATE(B203,""en"",""zh"")"),"车辆类型")</f>
        <v>车辆类型</v>
      </c>
      <c r="L203" s="4" t="str">
        <f>IFERROR(__xludf.DUMMYFUNCTION("GOOGLETRANSLATE(B203,""en"",""es"")"),"Tipo de vehículo")</f>
        <v>Tipo de vehículo</v>
      </c>
      <c r="M203" s="4" t="str">
        <f>IFERROR(__xludf.DUMMYFUNCTION("GOOGLETRANSLATE(B203,""en"",""iw"")"),"סוג רכב")</f>
        <v>סוג רכב</v>
      </c>
      <c r="N203" s="4" t="str">
        <f>IFERROR(__xludf.DUMMYFUNCTION("GOOGLETRANSLATE(B203,""en"",""bn"")"),"যানবাহনের ধরন")</f>
        <v>যানবাহনের ধরন</v>
      </c>
      <c r="O203" s="4" t="str">
        <f>IFERROR(__xludf.DUMMYFUNCTION("GOOGLETRANSLATE(B203,""en"",""pt"")"),"Tipo de veículo")</f>
        <v>Tipo de veículo</v>
      </c>
    </row>
    <row r="204">
      <c r="A204" s="7" t="s">
        <v>599</v>
      </c>
      <c r="B204" s="3" t="s">
        <v>124</v>
      </c>
      <c r="C204" s="4" t="str">
        <f>IFERROR(__xludf.DUMMYFUNCTION("GOOGLETRANSLATE(B204,""en"",""hi"")"),"वाहन संख्या")</f>
        <v>वाहन संख्या</v>
      </c>
      <c r="D204" s="6" t="s">
        <v>125</v>
      </c>
      <c r="E204" s="4" t="str">
        <f>IFERROR(__xludf.DUMMYFUNCTION("GOOGLETRANSLATE(B204,""en"",""fr"")"),"Numéro de véhicule")</f>
        <v>Numéro de véhicule</v>
      </c>
      <c r="F204" s="4" t="str">
        <f>IFERROR(__xludf.DUMMYFUNCTION("GOOGLETRANSLATE(B204,""en"",""tr"")"),"Araç Numarası")</f>
        <v>Araç Numarası</v>
      </c>
      <c r="G204" s="4" t="str">
        <f>IFERROR(__xludf.DUMMYFUNCTION("GOOGLETRANSLATE(B204,""en"",""ru"")"),"Номер транспортного средства")</f>
        <v>Номер транспортного средства</v>
      </c>
      <c r="H204" s="4" t="str">
        <f>IFERROR(__xludf.DUMMYFUNCTION("GOOGLETRANSLATE(B204,""en"",""it"")"),"Numero del veicolo")</f>
        <v>Numero del veicolo</v>
      </c>
      <c r="I204" s="4" t="str">
        <f>IFERROR(__xludf.DUMMYFUNCTION("GOOGLETRANSLATE(B204,""en"",""de"")"),"Fahrzeugnummer")</f>
        <v>Fahrzeugnummer</v>
      </c>
      <c r="J204" s="4" t="str">
        <f>IFERROR(__xludf.DUMMYFUNCTION("GOOGLETRANSLATE(B204,""en"",""ko"")"),"차량 번호")</f>
        <v>차량 번호</v>
      </c>
      <c r="K204" s="4" t="str">
        <f>IFERROR(__xludf.DUMMYFUNCTION("GOOGLETRANSLATE(B204,""en"",""zh"")"),"车辆号码")</f>
        <v>车辆号码</v>
      </c>
      <c r="L204" s="4" t="str">
        <f>IFERROR(__xludf.DUMMYFUNCTION("GOOGLETRANSLATE(B204,""en"",""es"")"),"Número de vehículo")</f>
        <v>Número de vehículo</v>
      </c>
      <c r="M204" s="4" t="str">
        <f>IFERROR(__xludf.DUMMYFUNCTION("GOOGLETRANSLATE(B204,""en"",""iw"")"),"מספר רכב")</f>
        <v>מספר רכב</v>
      </c>
      <c r="N204" s="4" t="str">
        <f>IFERROR(__xludf.DUMMYFUNCTION("GOOGLETRANSLATE(B204,""en"",""bn"")"),"গাড়ির নম্বর")</f>
        <v>গাড়ির নম্বর</v>
      </c>
      <c r="O204" s="4" t="str">
        <f>IFERROR(__xludf.DUMMYFUNCTION("GOOGLETRANSLATE(B204,""en"",""pt"")"),"Número do veículo")</f>
        <v>Número do veículo</v>
      </c>
    </row>
    <row r="205">
      <c r="A205" s="7" t="s">
        <v>600</v>
      </c>
      <c r="B205" s="3" t="s">
        <v>601</v>
      </c>
      <c r="C205" s="4" t="str">
        <f>IFERROR(__xludf.DUMMYFUNCTION("GOOGLETRANSLATE(B205,""en"",""hi"")"),"वाहन का रंग")</f>
        <v>वाहन का रंग</v>
      </c>
      <c r="D205" s="6" t="s">
        <v>602</v>
      </c>
      <c r="E205" s="4" t="str">
        <f>IFERROR(__xludf.DUMMYFUNCTION("GOOGLETRANSLATE(B205,""en"",""fr"")"),"Couleur du véhicule")</f>
        <v>Couleur du véhicule</v>
      </c>
      <c r="F205" s="4" t="str">
        <f>IFERROR(__xludf.DUMMYFUNCTION("GOOGLETRANSLATE(B205,""en"",""tr"")"),"Araç Rengi")</f>
        <v>Araç Rengi</v>
      </c>
      <c r="G205" s="4" t="str">
        <f>IFERROR(__xludf.DUMMYFUNCTION("GOOGLETRANSLATE(B205,""en"",""ru"")"),"Цвет автомобиля")</f>
        <v>Цвет автомобиля</v>
      </c>
      <c r="H205" s="4" t="str">
        <f>IFERROR(__xludf.DUMMYFUNCTION("GOOGLETRANSLATE(B205,""en"",""it"")"),"Colore del veicolo")</f>
        <v>Colore del veicolo</v>
      </c>
      <c r="I205" s="4" t="str">
        <f>IFERROR(__xludf.DUMMYFUNCTION("GOOGLETRANSLATE(B205,""en"",""de"")"),"Fahrzeugfarbe")</f>
        <v>Fahrzeugfarbe</v>
      </c>
      <c r="J205" s="4" t="str">
        <f>IFERROR(__xludf.DUMMYFUNCTION("GOOGLETRANSLATE(B205,""en"",""ko"")"),"차량 색상")</f>
        <v>차량 색상</v>
      </c>
      <c r="K205" s="4" t="str">
        <f>IFERROR(__xludf.DUMMYFUNCTION("GOOGLETRANSLATE(B205,""en"",""zh"")"),"车辆颜色")</f>
        <v>车辆颜色</v>
      </c>
      <c r="L205" s="4" t="str">
        <f>IFERROR(__xludf.DUMMYFUNCTION("GOOGLETRANSLATE(B205,""en"",""es"")"),"Color del vehículo")</f>
        <v>Color del vehículo</v>
      </c>
      <c r="M205" s="4" t="str">
        <f>IFERROR(__xludf.DUMMYFUNCTION("GOOGLETRANSLATE(B205,""en"",""iw"")"),"צבע הרכב")</f>
        <v>צבע הרכב</v>
      </c>
      <c r="N205" s="4" t="str">
        <f>IFERROR(__xludf.DUMMYFUNCTION("GOOGLETRANSLATE(B205,""en"",""bn"")"),"গাড়ির রঙ")</f>
        <v>গাড়ির রঙ</v>
      </c>
      <c r="O205" s="4" t="str">
        <f>IFERROR(__xludf.DUMMYFUNCTION("GOOGLETRANSLATE(B205,""en"",""pt"")"),"Cor do veículo")</f>
        <v>Cor do veículo</v>
      </c>
    </row>
    <row r="206">
      <c r="A206" s="7" t="s">
        <v>603</v>
      </c>
      <c r="B206" s="3" t="s">
        <v>604</v>
      </c>
      <c r="C206" s="4" t="str">
        <f>IFERROR(__xludf.DUMMYFUNCTION("GOOGLETRANSLATE(B206,""en"",""hi"")"),"अपलोड करने के लिए यहां टैप करें")</f>
        <v>अपलोड करने के लिए यहां टैप करें</v>
      </c>
      <c r="D206" s="6" t="s">
        <v>605</v>
      </c>
      <c r="E206" s="4" t="str">
        <f>IFERROR(__xludf.DUMMYFUNCTION("GOOGLETRANSLATE(B206,""en"",""fr"")"),"Appuyez ici pour télécharger")</f>
        <v>Appuyez ici pour télécharger</v>
      </c>
      <c r="F206" s="4" t="str">
        <f>IFERROR(__xludf.DUMMYFUNCTION("GOOGLETRANSLATE(B206,""en"",""tr"")"),"Yüklemek için buraya dokunun")</f>
        <v>Yüklemek için buraya dokunun</v>
      </c>
      <c r="G206" s="4" t="str">
        <f>IFERROR(__xludf.DUMMYFUNCTION("GOOGLETRANSLATE(B206,""en"",""ru"")"),"Нажмите здесь, чтобы загрузить")</f>
        <v>Нажмите здесь, чтобы загрузить</v>
      </c>
      <c r="H206" s="4" t="str">
        <f>IFERROR(__xludf.DUMMYFUNCTION("GOOGLETRANSLATE(B206,""en"",""it"")"),"Tocca qui per caricare")</f>
        <v>Tocca qui per caricare</v>
      </c>
      <c r="I206" s="4" t="str">
        <f>IFERROR(__xludf.DUMMYFUNCTION("GOOGLETRANSLATE(B206,""en"",""de"")"),"Zum Hochladen hier tippen")</f>
        <v>Zum Hochladen hier tippen</v>
      </c>
      <c r="J206" s="4" t="str">
        <f>IFERROR(__xludf.DUMMYFUNCTION("GOOGLETRANSLATE(B206,""en"",""ko"")"),"여기를 탭하여 업로드하세요")</f>
        <v>여기를 탭하여 업로드하세요</v>
      </c>
      <c r="K206" s="4" t="str">
        <f>IFERROR(__xludf.DUMMYFUNCTION("GOOGLETRANSLATE(B206,""en"",""zh"")"),"点击此处上传")</f>
        <v>点击此处上传</v>
      </c>
      <c r="L206" s="4" t="str">
        <f>IFERROR(__xludf.DUMMYFUNCTION("GOOGLETRANSLATE(B206,""en"",""es"")"),"Toque aquí para cargar")</f>
        <v>Toque aquí para cargar</v>
      </c>
      <c r="M206" s="4" t="str">
        <f>IFERROR(__xludf.DUMMYFUNCTION("GOOGLETRANSLATE(B206,""en"",""iw"")"),"הקש כאן כדי להעלות")</f>
        <v>הקש כאן כדי להעלות</v>
      </c>
      <c r="N206" s="4" t="str">
        <f>IFERROR(__xludf.DUMMYFUNCTION("GOOGLETRANSLATE(B206,""en"",""bn"")"),"আপলোড করতে এখানে আলতো চাপুন")</f>
        <v>আপলোড করতে এখানে আলতো চাপুন</v>
      </c>
      <c r="O206" s="4" t="str">
        <f>IFERROR(__xludf.DUMMYFUNCTION("GOOGLETRANSLATE(B206,""en"",""pt"")"),"Toque aqui para fazer upload")</f>
        <v>Toque aqui para fazer upload</v>
      </c>
    </row>
    <row r="207">
      <c r="A207" s="7" t="s">
        <v>606</v>
      </c>
      <c r="B207" s="3" t="s">
        <v>607</v>
      </c>
      <c r="C207" s="4" t="str">
        <f>IFERROR(__xludf.DUMMYFUNCTION("GOOGLETRANSLATE(B207,""en"",""hi"")"),"आय")</f>
        <v>आय</v>
      </c>
      <c r="D207" s="4" t="str">
        <f>IFERROR(__xludf.DUMMYFUNCTION("GOOGLETRANSLATE(B207,""en"",""ar"")"),"الأرباح")</f>
        <v>الأرباح</v>
      </c>
      <c r="E207" s="4" t="str">
        <f>IFERROR(__xludf.DUMMYFUNCTION("GOOGLETRANSLATE(B207,""en"",""fr"")"),"Gains")</f>
        <v>Gains</v>
      </c>
      <c r="F207" s="4" t="str">
        <f>IFERROR(__xludf.DUMMYFUNCTION("GOOGLETRANSLATE(B207,""en"",""tr"")"),"Kazançlar")</f>
        <v>Kazançlar</v>
      </c>
      <c r="G207" s="4" t="str">
        <f>IFERROR(__xludf.DUMMYFUNCTION("GOOGLETRANSLATE(B207,""en"",""ru"")"),"Доходы")</f>
        <v>Доходы</v>
      </c>
      <c r="H207" s="4" t="str">
        <f>IFERROR(__xludf.DUMMYFUNCTION("GOOGLETRANSLATE(B207,""en"",""it"")"),"Guadagni")</f>
        <v>Guadagni</v>
      </c>
      <c r="I207" s="4" t="str">
        <f>IFERROR(__xludf.DUMMYFUNCTION("GOOGLETRANSLATE(B207,""en"",""de"")"),"Ergebnis")</f>
        <v>Ergebnis</v>
      </c>
      <c r="J207" s="4" t="str">
        <f>IFERROR(__xludf.DUMMYFUNCTION("GOOGLETRANSLATE(B207,""en"",""ko"")"),"수입")</f>
        <v>수입</v>
      </c>
      <c r="K207" s="4" t="str">
        <f>IFERROR(__xludf.DUMMYFUNCTION("GOOGLETRANSLATE(B207,""en"",""zh"")"),"收益")</f>
        <v>收益</v>
      </c>
      <c r="L207" s="4" t="str">
        <f>IFERROR(__xludf.DUMMYFUNCTION("GOOGLETRANSLATE(B207,""en"",""es"")"),"Ganancias")</f>
        <v>Ganancias</v>
      </c>
      <c r="M207" s="4" t="str">
        <f>IFERROR(__xludf.DUMMYFUNCTION("GOOGLETRANSLATE(B207,""en"",""iw"")"),"רווחים")</f>
        <v>רווחים</v>
      </c>
      <c r="N207" s="4" t="str">
        <f>IFERROR(__xludf.DUMMYFUNCTION("GOOGLETRANSLATE(B207,""en"",""bn"")"),"আয়")</f>
        <v>আয়</v>
      </c>
      <c r="O207" s="4" t="str">
        <f>IFERROR(__xludf.DUMMYFUNCTION("GOOGLETRANSLATE(B207,""en"",""pt"")"),"Ganhos")</f>
        <v>Ganhos</v>
      </c>
    </row>
    <row r="208">
      <c r="A208" s="7" t="s">
        <v>608</v>
      </c>
      <c r="B208" s="3" t="s">
        <v>609</v>
      </c>
      <c r="C208" s="4" t="str">
        <f>IFERROR(__xludf.DUMMYFUNCTION("GOOGLETRANSLATE(B208,""en"",""hi"")"),"आज")</f>
        <v>आज</v>
      </c>
      <c r="D208" s="4" t="str">
        <f>IFERROR(__xludf.DUMMYFUNCTION("GOOGLETRANSLATE(B208,""en"",""ar"")"),"اليوم")</f>
        <v>اليوم</v>
      </c>
      <c r="E208" s="4" t="str">
        <f>IFERROR(__xludf.DUMMYFUNCTION("GOOGLETRANSLATE(B208,""en"",""fr"")"),"Aujourd'hui")</f>
        <v>Aujourd'hui</v>
      </c>
      <c r="F208" s="4" t="str">
        <f>IFERROR(__xludf.DUMMYFUNCTION("GOOGLETRANSLATE(B208,""en"",""tr"")"),"Bugün")</f>
        <v>Bugün</v>
      </c>
      <c r="G208" s="4" t="str">
        <f>IFERROR(__xludf.DUMMYFUNCTION("GOOGLETRANSLATE(B208,""en"",""ru"")"),"Сегодня")</f>
        <v>Сегодня</v>
      </c>
      <c r="H208" s="4" t="str">
        <f>IFERROR(__xludf.DUMMYFUNCTION("GOOGLETRANSLATE(B208,""en"",""it"")"),"Oggi")</f>
        <v>Oggi</v>
      </c>
      <c r="I208" s="4" t="str">
        <f>IFERROR(__xludf.DUMMYFUNCTION("GOOGLETRANSLATE(B208,""en"",""de"")"),"Heute")</f>
        <v>Heute</v>
      </c>
      <c r="J208" s="4" t="str">
        <f>IFERROR(__xludf.DUMMYFUNCTION("GOOGLETRANSLATE(B208,""en"",""ko"")"),"오늘")</f>
        <v>오늘</v>
      </c>
      <c r="K208" s="4" t="str">
        <f>IFERROR(__xludf.DUMMYFUNCTION("GOOGLETRANSLATE(B208,""en"",""zh"")"),"今天")</f>
        <v>今天</v>
      </c>
      <c r="L208" s="4" t="str">
        <f>IFERROR(__xludf.DUMMYFUNCTION("GOOGLETRANSLATE(B208,""en"",""es"")"),"Hoy")</f>
        <v>Hoy</v>
      </c>
      <c r="M208" s="4" t="str">
        <f>IFERROR(__xludf.DUMMYFUNCTION("GOOGLETRANSLATE(B208,""en"",""iw"")"),"הַיוֹם")</f>
        <v>הַיוֹם</v>
      </c>
      <c r="N208" s="4" t="str">
        <f>IFERROR(__xludf.DUMMYFUNCTION("GOOGLETRANSLATE(B208,""en"",""bn"")"),"আজ")</f>
        <v>আজ</v>
      </c>
      <c r="O208" s="4" t="str">
        <f>IFERROR(__xludf.DUMMYFUNCTION("GOOGLETRANSLATE(B208,""en"",""pt"")"),"Hoje")</f>
        <v>Hoje</v>
      </c>
    </row>
    <row r="209">
      <c r="A209" s="7" t="s">
        <v>610</v>
      </c>
      <c r="B209" s="3" t="s">
        <v>611</v>
      </c>
      <c r="C209" s="4" t="str">
        <f>IFERROR(__xludf.DUMMYFUNCTION("GOOGLETRANSLATE(B209,""en"",""hi"")"),"साप्ताहिक")</f>
        <v>साप्ताहिक</v>
      </c>
      <c r="D209" s="4" t="str">
        <f>IFERROR(__xludf.DUMMYFUNCTION("GOOGLETRANSLATE(B209,""en"",""ar"")"),"أسبوعي")</f>
        <v>أسبوعي</v>
      </c>
      <c r="E209" s="4" t="str">
        <f>IFERROR(__xludf.DUMMYFUNCTION("GOOGLETRANSLATE(B209,""en"",""fr"")"),"Hebdomadaire")</f>
        <v>Hebdomadaire</v>
      </c>
      <c r="F209" s="4" t="str">
        <f>IFERROR(__xludf.DUMMYFUNCTION("GOOGLETRANSLATE(B209,""en"",""tr"")"),"Haftalık")</f>
        <v>Haftalık</v>
      </c>
      <c r="G209" s="4" t="str">
        <f>IFERROR(__xludf.DUMMYFUNCTION("GOOGLETRANSLATE(B209,""en"",""ru"")"),"Еженедельно")</f>
        <v>Еженедельно</v>
      </c>
      <c r="H209" s="4" t="str">
        <f>IFERROR(__xludf.DUMMYFUNCTION("GOOGLETRANSLATE(B209,""en"",""it"")"),"Settimanale")</f>
        <v>Settimanale</v>
      </c>
      <c r="I209" s="4" t="str">
        <f>IFERROR(__xludf.DUMMYFUNCTION("GOOGLETRANSLATE(B209,""en"",""de"")"),"Wöchentlich")</f>
        <v>Wöchentlich</v>
      </c>
      <c r="J209" s="4" t="str">
        <f>IFERROR(__xludf.DUMMYFUNCTION("GOOGLETRANSLATE(B209,""en"",""ko"")"),"주간")</f>
        <v>주간</v>
      </c>
      <c r="K209" s="4" t="str">
        <f>IFERROR(__xludf.DUMMYFUNCTION("GOOGLETRANSLATE(B209,""en"",""zh"")"),"每周")</f>
        <v>每周</v>
      </c>
      <c r="L209" s="4" t="str">
        <f>IFERROR(__xludf.DUMMYFUNCTION("GOOGLETRANSLATE(B209,""en"",""es"")"),"Semanalmente")</f>
        <v>Semanalmente</v>
      </c>
      <c r="M209" s="4" t="str">
        <f>IFERROR(__xludf.DUMMYFUNCTION("GOOGLETRANSLATE(B209,""en"",""iw"")"),"שְׁבוּעִי")</f>
        <v>שְׁבוּעִי</v>
      </c>
      <c r="N209" s="4" t="str">
        <f>IFERROR(__xludf.DUMMYFUNCTION("GOOGLETRANSLATE(B209,""en"",""bn"")"),"সাপ্তাহিক")</f>
        <v>সাপ্তাহিক</v>
      </c>
      <c r="O209" s="4" t="str">
        <f>IFERROR(__xludf.DUMMYFUNCTION("GOOGLETRANSLATE(B209,""en"",""pt"")"),"Semanalmente")</f>
        <v>Semanalmente</v>
      </c>
    </row>
    <row r="210">
      <c r="A210" s="7" t="s">
        <v>612</v>
      </c>
      <c r="B210" s="3" t="s">
        <v>613</v>
      </c>
      <c r="C210" s="4" t="str">
        <f>IFERROR(__xludf.DUMMYFUNCTION("GOOGLETRANSLATE(B210,""en"",""hi"")"),"महीने के")</f>
        <v>महीने के</v>
      </c>
      <c r="D210" s="6" t="s">
        <v>614</v>
      </c>
      <c r="E210" s="4" t="str">
        <f>IFERROR(__xludf.DUMMYFUNCTION("GOOGLETRANSLATE(B210,""en"",""fr"")"),"Mensuel")</f>
        <v>Mensuel</v>
      </c>
      <c r="F210" s="4" t="str">
        <f>IFERROR(__xludf.DUMMYFUNCTION("GOOGLETRANSLATE(B210,""en"",""tr"")"),"Aylık")</f>
        <v>Aylık</v>
      </c>
      <c r="G210" s="4" t="str">
        <f>IFERROR(__xludf.DUMMYFUNCTION("GOOGLETRANSLATE(B210,""en"",""ru"")"),"Ежемесячно")</f>
        <v>Ежемесячно</v>
      </c>
      <c r="H210" s="4" t="str">
        <f>IFERROR(__xludf.DUMMYFUNCTION("GOOGLETRANSLATE(B210,""en"",""it"")"),"Mensile")</f>
        <v>Mensile</v>
      </c>
      <c r="I210" s="4" t="str">
        <f>IFERROR(__xludf.DUMMYFUNCTION("GOOGLETRANSLATE(B210,""en"",""de"")"),"Monatlich")</f>
        <v>Monatlich</v>
      </c>
      <c r="J210" s="4" t="str">
        <f>IFERROR(__xludf.DUMMYFUNCTION("GOOGLETRANSLATE(B210,""en"",""ko"")"),"월간 간행물")</f>
        <v>월간 간행물</v>
      </c>
      <c r="K210" s="4" t="str">
        <f>IFERROR(__xludf.DUMMYFUNCTION("GOOGLETRANSLATE(B210,""en"",""zh"")"),"每月")</f>
        <v>每月</v>
      </c>
      <c r="L210" s="4" t="str">
        <f>IFERROR(__xludf.DUMMYFUNCTION("GOOGLETRANSLATE(B210,""en"",""es"")"),"Mensual")</f>
        <v>Mensual</v>
      </c>
      <c r="M210" s="4" t="str">
        <f>IFERROR(__xludf.DUMMYFUNCTION("GOOGLETRANSLATE(B210,""en"",""iw"")"),"יַרחוֹן")</f>
        <v>יַרחוֹן</v>
      </c>
      <c r="N210" s="4" t="str">
        <f>IFERROR(__xludf.DUMMYFUNCTION("GOOGLETRANSLATE(B210,""en"",""bn"")"),"মাসিক")</f>
        <v>মাসিক</v>
      </c>
      <c r="O210" s="4" t="str">
        <f>IFERROR(__xludf.DUMMYFUNCTION("GOOGLETRANSLATE(B210,""en"",""pt"")"),"Mensal")</f>
        <v>Mensal</v>
      </c>
    </row>
    <row r="211">
      <c r="A211" s="7" t="s">
        <v>615</v>
      </c>
      <c r="B211" s="3" t="s">
        <v>616</v>
      </c>
      <c r="C211" s="4" t="str">
        <f>IFERROR(__xludf.DUMMYFUNCTION("GOOGLETRANSLATE(B211,""en"",""hi"")"),"ट्रिप्स")</f>
        <v>ट्रिप्स</v>
      </c>
      <c r="D211" s="6" t="s">
        <v>617</v>
      </c>
      <c r="E211" s="4" t="str">
        <f>IFERROR(__xludf.DUMMYFUNCTION("GOOGLETRANSLATE(B211,""en"",""fr"")"),"Voyages")</f>
        <v>Voyages</v>
      </c>
      <c r="F211" s="4" t="str">
        <f>IFERROR(__xludf.DUMMYFUNCTION("GOOGLETRANSLATE(B211,""en"",""tr"")"),"Geziler")</f>
        <v>Geziler</v>
      </c>
      <c r="G211" s="4" t="str">
        <f>IFERROR(__xludf.DUMMYFUNCTION("GOOGLETRANSLATE(B211,""en"",""ru"")"),"Поездки")</f>
        <v>Поездки</v>
      </c>
      <c r="H211" s="4" t="str">
        <f>IFERROR(__xludf.DUMMYFUNCTION("GOOGLETRANSLATE(B211,""en"",""it"")"),"Viaggi")</f>
        <v>Viaggi</v>
      </c>
      <c r="I211" s="4" t="str">
        <f>IFERROR(__xludf.DUMMYFUNCTION("GOOGLETRANSLATE(B211,""en"",""de"")"),"Reisen")</f>
        <v>Reisen</v>
      </c>
      <c r="J211" s="4" t="str">
        <f>IFERROR(__xludf.DUMMYFUNCTION("GOOGLETRANSLATE(B211,""en"",""ko"")"),"여행")</f>
        <v>여행</v>
      </c>
      <c r="K211" s="4" t="str">
        <f>IFERROR(__xludf.DUMMYFUNCTION("GOOGLETRANSLATE(B211,""en"",""zh"")"),"旅行")</f>
        <v>旅行</v>
      </c>
      <c r="L211" s="4" t="str">
        <f>IFERROR(__xludf.DUMMYFUNCTION("GOOGLETRANSLATE(B211,""en"",""es"")"),"Viajes")</f>
        <v>Viajes</v>
      </c>
      <c r="M211" s="4" t="str">
        <f>IFERROR(__xludf.DUMMYFUNCTION("GOOGLETRANSLATE(B211,""en"",""iw"")"),"טיולים")</f>
        <v>טיולים</v>
      </c>
      <c r="N211" s="4" t="str">
        <f>IFERROR(__xludf.DUMMYFUNCTION("GOOGLETRANSLATE(B211,""en"",""bn"")"),"ট্রিপ")</f>
        <v>ট্রিপ</v>
      </c>
      <c r="O211" s="4" t="str">
        <f>IFERROR(__xludf.DUMMYFUNCTION("GOOGLETRANSLATE(B211,""en"",""pt"")"),"Viagens")</f>
        <v>Viagens</v>
      </c>
    </row>
    <row r="212">
      <c r="A212" s="7" t="s">
        <v>618</v>
      </c>
      <c r="B212" s="3" t="s">
        <v>619</v>
      </c>
      <c r="C212" s="4" t="str">
        <f>IFERROR(__xludf.DUMMYFUNCTION("GOOGLETRANSLATE(B212,""en"",""hi"")"),"घंटे")</f>
        <v>घंटे</v>
      </c>
      <c r="D212" s="6" t="s">
        <v>620</v>
      </c>
      <c r="E212" s="4" t="str">
        <f>IFERROR(__xludf.DUMMYFUNCTION("GOOGLETRANSLATE(B212,""en"",""fr"")"),"Heures")</f>
        <v>Heures</v>
      </c>
      <c r="F212" s="4" t="str">
        <f>IFERROR(__xludf.DUMMYFUNCTION("GOOGLETRANSLATE(B212,""en"",""tr"")"),"Saat")</f>
        <v>Saat</v>
      </c>
      <c r="G212" s="4" t="str">
        <f>IFERROR(__xludf.DUMMYFUNCTION("GOOGLETRANSLATE(B212,""en"",""ru"")"),"Часы")</f>
        <v>Часы</v>
      </c>
      <c r="H212" s="4" t="str">
        <f>IFERROR(__xludf.DUMMYFUNCTION("GOOGLETRANSLATE(B212,""en"",""it"")"),"Ore")</f>
        <v>Ore</v>
      </c>
      <c r="I212" s="4" t="str">
        <f>IFERROR(__xludf.DUMMYFUNCTION("GOOGLETRANSLATE(B212,""en"",""de"")"),"Std")</f>
        <v>Std</v>
      </c>
      <c r="J212" s="4" t="str">
        <f>IFERROR(__xludf.DUMMYFUNCTION("GOOGLETRANSLATE(B212,""en"",""ko"")"),"시간")</f>
        <v>시간</v>
      </c>
      <c r="K212" s="4" t="str">
        <f>IFERROR(__xludf.DUMMYFUNCTION("GOOGLETRANSLATE(B212,""en"",""zh"")"),"小时")</f>
        <v>小时</v>
      </c>
      <c r="L212" s="4" t="str">
        <f>IFERROR(__xludf.DUMMYFUNCTION("GOOGLETRANSLATE(B212,""en"",""es"")"),"Horas")</f>
        <v>Horas</v>
      </c>
      <c r="M212" s="4" t="str">
        <f>IFERROR(__xludf.DUMMYFUNCTION("GOOGLETRANSLATE(B212,""en"",""iw"")"),"שעות")</f>
        <v>שעות</v>
      </c>
      <c r="N212" s="4" t="str">
        <f>IFERROR(__xludf.DUMMYFUNCTION("GOOGLETRANSLATE(B212,""en"",""bn"")"),"ঘন্টা")</f>
        <v>ঘন্টা</v>
      </c>
      <c r="O212" s="4" t="str">
        <f>IFERROR(__xludf.DUMMYFUNCTION("GOOGLETRANSLATE(B212,""en"",""pt"")"),"Horas")</f>
        <v>Horas</v>
      </c>
    </row>
    <row r="213">
      <c r="A213" s="7" t="s">
        <v>621</v>
      </c>
      <c r="B213" s="3" t="s">
        <v>622</v>
      </c>
      <c r="C213" s="4" t="str">
        <f>IFERROR(__xludf.DUMMYFUNCTION("GOOGLETRANSLATE(B213,""en"",""hi"")"),"यात्रा किलोमीटर")</f>
        <v>यात्रा किलोमीटर</v>
      </c>
      <c r="D213" s="6" t="s">
        <v>623</v>
      </c>
      <c r="E213" s="4" t="str">
        <f>IFERROR(__xludf.DUMMYFUNCTION("GOOGLETRANSLATE(B213,""en"",""fr"")"),"Kilomètres parcourus")</f>
        <v>Kilomètres parcourus</v>
      </c>
      <c r="F213" s="4" t="str">
        <f>IFERROR(__xludf.DUMMYFUNCTION("GOOGLETRANSLATE(B213,""en"",""tr"")"),"Seyahat Km'leri")</f>
        <v>Seyahat Km'leri</v>
      </c>
      <c r="G213" s="4" t="str">
        <f>IFERROR(__xludf.DUMMYFUNCTION("GOOGLETRANSLATE(B213,""en"",""ru"")"),"Пройденное расстояние (км)")</f>
        <v>Пройденное расстояние (км)</v>
      </c>
      <c r="H213" s="4" t="str">
        <f>IFERROR(__xludf.DUMMYFUNCTION("GOOGLETRANSLATE(B213,""en"",""it"")"),"Km di viaggio")</f>
        <v>Km di viaggio</v>
      </c>
      <c r="I213" s="4" t="str">
        <f>IFERROR(__xludf.DUMMYFUNCTION("GOOGLETRANSLATE(B213,""en"",""de"")"),"Reisekilometer")</f>
        <v>Reisekilometer</v>
      </c>
      <c r="J213" s="4" t="str">
        <f>IFERROR(__xludf.DUMMYFUNCTION("GOOGLETRANSLATE(B213,""en"",""ko"")"),"여행 Kms")</f>
        <v>여행 Kms</v>
      </c>
      <c r="K213" s="4" t="str">
        <f>IFERROR(__xludf.DUMMYFUNCTION("GOOGLETRANSLATE(B213,""en"",""zh"")"),"行程公里数")</f>
        <v>行程公里数</v>
      </c>
      <c r="L213" s="4" t="str">
        <f>IFERROR(__xludf.DUMMYFUNCTION("GOOGLETRANSLATE(B213,""en"",""es"")"),"Kms de viaje")</f>
        <v>Kms de viaje</v>
      </c>
      <c r="M213" s="4" t="str">
        <f>IFERROR(__xludf.DUMMYFUNCTION("GOOGLETRANSLATE(B213,""en"",""iw"")"),"טיול ק""מ")</f>
        <v>טיול ק"מ</v>
      </c>
      <c r="N213" s="4" t="str">
        <f>IFERROR(__xludf.DUMMYFUNCTION("GOOGLETRANSLATE(B213,""en"",""bn"")"),"ট্রিপ কিমি")</f>
        <v>ট্রিপ কিমি</v>
      </c>
      <c r="O213" s="4" t="str">
        <f>IFERROR(__xludf.DUMMYFUNCTION("GOOGLETRANSLATE(B213,""en"",""pt"")"),"Kms de viagem")</f>
        <v>Kms de viagem</v>
      </c>
    </row>
    <row r="214">
      <c r="A214" s="7" t="s">
        <v>624</v>
      </c>
      <c r="B214" s="3" t="s">
        <v>625</v>
      </c>
      <c r="C214" s="4" t="str">
        <f>IFERROR(__xludf.DUMMYFUNCTION("GOOGLETRANSLATE(B214,""en"",""hi"")"),"वॉलेट भुगतान")</f>
        <v>वॉलेट भुगतान</v>
      </c>
      <c r="D214" s="6" t="s">
        <v>626</v>
      </c>
      <c r="E214" s="4" t="str">
        <f>IFERROR(__xludf.DUMMYFUNCTION("GOOGLETRANSLATE(B214,""en"",""fr"")"),"Paiement par portefeuille")</f>
        <v>Paiement par portefeuille</v>
      </c>
      <c r="F214" s="4" t="str">
        <f>IFERROR(__xludf.DUMMYFUNCTION("GOOGLETRANSLATE(B214,""en"",""tr"")"),"Cüzdan Ödemesi")</f>
        <v>Cüzdan Ödemesi</v>
      </c>
      <c r="G214" s="4" t="str">
        <f>IFERROR(__xludf.DUMMYFUNCTION("GOOGLETRANSLATE(B214,""en"",""ru"")"),"Оплата через кошелек")</f>
        <v>Оплата через кошелек</v>
      </c>
      <c r="H214" s="4" t="str">
        <f>IFERROR(__xludf.DUMMYFUNCTION("GOOGLETRANSLATE(B214,""en"",""it"")"),"Pagamento tramite portafoglio")</f>
        <v>Pagamento tramite portafoglio</v>
      </c>
      <c r="I214" s="4" t="str">
        <f>IFERROR(__xludf.DUMMYFUNCTION("GOOGLETRANSLATE(B214,""en"",""de"")"),"Wallet-Zahlung")</f>
        <v>Wallet-Zahlung</v>
      </c>
      <c r="J214" s="4" t="str">
        <f>IFERROR(__xludf.DUMMYFUNCTION("GOOGLETRANSLATE(B214,""en"",""ko"")"),"지갑 결제")</f>
        <v>지갑 결제</v>
      </c>
      <c r="K214" s="4" t="str">
        <f>IFERROR(__xludf.DUMMYFUNCTION("GOOGLETRANSLATE(B214,""en"",""zh"")"),"钱包支付")</f>
        <v>钱包支付</v>
      </c>
      <c r="L214" s="4" t="str">
        <f>IFERROR(__xludf.DUMMYFUNCTION("GOOGLETRANSLATE(B214,""en"",""es"")"),"Pago con billetera")</f>
        <v>Pago con billetera</v>
      </c>
      <c r="M214" s="4" t="str">
        <f>IFERROR(__xludf.DUMMYFUNCTION("GOOGLETRANSLATE(B214,""en"",""iw"")"),"תשלום בארנק")</f>
        <v>תשלום בארנק</v>
      </c>
      <c r="N214" s="4" t="str">
        <f>IFERROR(__xludf.DUMMYFUNCTION("GOOGLETRANSLATE(B214,""en"",""bn"")"),"ওয়ালেট পেমেন্ট")</f>
        <v>ওয়ালেট পেমেন্ট</v>
      </c>
      <c r="O214" s="4" t="str">
        <f>IFERROR(__xludf.DUMMYFUNCTION("GOOGLETRANSLATE(B214,""en"",""pt"")"),"Pagamento por carteira")</f>
        <v>Pagamento por carteira</v>
      </c>
    </row>
    <row r="215">
      <c r="A215" s="7" t="s">
        <v>627</v>
      </c>
      <c r="B215" s="3" t="s">
        <v>628</v>
      </c>
      <c r="C215" s="4" t="str">
        <f>IFERROR(__xludf.DUMMYFUNCTION("GOOGLETRANSLATE(B215,""en"",""hi"")"),"नकद भुगतान")</f>
        <v>नकद भुगतान</v>
      </c>
      <c r="D215" s="6" t="s">
        <v>629</v>
      </c>
      <c r="E215" s="4" t="str">
        <f>IFERROR(__xludf.DUMMYFUNCTION("GOOGLETRANSLATE(B215,""en"",""fr"")"),"Paiement en espèces")</f>
        <v>Paiement en espèces</v>
      </c>
      <c r="F215" s="4" t="str">
        <f>IFERROR(__xludf.DUMMYFUNCTION("GOOGLETRANSLATE(B215,""en"",""tr"")"),"Nakit ödeme")</f>
        <v>Nakit ödeme</v>
      </c>
      <c r="G215" s="4" t="str">
        <f>IFERROR(__xludf.DUMMYFUNCTION("GOOGLETRANSLATE(B215,""en"",""ru"")"),"Оплата наличными")</f>
        <v>Оплата наличными</v>
      </c>
      <c r="H215" s="4" t="str">
        <f>IFERROR(__xludf.DUMMYFUNCTION("GOOGLETRANSLATE(B215,""en"",""it"")"),"Pagamento in contanti")</f>
        <v>Pagamento in contanti</v>
      </c>
      <c r="I215" s="4" t="str">
        <f>IFERROR(__xludf.DUMMYFUNCTION("GOOGLETRANSLATE(B215,""en"",""de"")"),"Barzahlung")</f>
        <v>Barzahlung</v>
      </c>
      <c r="J215" s="4" t="str">
        <f>IFERROR(__xludf.DUMMYFUNCTION("GOOGLETRANSLATE(B215,""en"",""ko"")"),"현금 결제")</f>
        <v>현금 결제</v>
      </c>
      <c r="K215" s="4" t="str">
        <f>IFERROR(__xludf.DUMMYFUNCTION("GOOGLETRANSLATE(B215,""en"",""zh"")"),"现金支付")</f>
        <v>现金支付</v>
      </c>
      <c r="L215" s="4" t="str">
        <f>IFERROR(__xludf.DUMMYFUNCTION("GOOGLETRANSLATE(B215,""en"",""es"")"),"Pago al contado")</f>
        <v>Pago al contado</v>
      </c>
      <c r="M215" s="4" t="str">
        <f>IFERROR(__xludf.DUMMYFUNCTION("GOOGLETRANSLATE(B215,""en"",""iw"")"),"תשלום במזומן")</f>
        <v>תשלום במזומן</v>
      </c>
      <c r="N215" s="4" t="str">
        <f>IFERROR(__xludf.DUMMYFUNCTION("GOOGLETRANSLATE(B215,""en"",""bn"")"),"নগদ অর্থ প্রদান")</f>
        <v>নগদ অর্থ প্রদান</v>
      </c>
      <c r="O215" s="4" t="str">
        <f>IFERROR(__xludf.DUMMYFUNCTION("GOOGLETRANSLATE(B215,""en"",""pt"")"),"Pagamento em dinheiro")</f>
        <v>Pagamento em dinheiro</v>
      </c>
    </row>
    <row r="216">
      <c r="A216" s="7" t="s">
        <v>630</v>
      </c>
      <c r="B216" s="3" t="s">
        <v>631</v>
      </c>
      <c r="C216" s="4" t="str">
        <f>IFERROR(__xludf.DUMMYFUNCTION("GOOGLETRANSLATE(B216,""en"",""hi"")"),"कुल कमाई")</f>
        <v>कुल कमाई</v>
      </c>
      <c r="D216" s="4" t="str">
        <f>IFERROR(__xludf.DUMMYFUNCTION("GOOGLETRANSLATE(B216,""en"",""ar"")"),"إجمالي الأرباح")</f>
        <v>إجمالي الأرباح</v>
      </c>
      <c r="E216" s="4" t="str">
        <f>IFERROR(__xludf.DUMMYFUNCTION("GOOGLETRANSLATE(B216,""en"",""fr"")"),"Bénéfice total")</f>
        <v>Bénéfice total</v>
      </c>
      <c r="F216" s="4" t="str">
        <f>IFERROR(__xludf.DUMMYFUNCTION("GOOGLETRANSLATE(B216,""en"",""tr"")"),"Toplam Kazanç")</f>
        <v>Toplam Kazanç</v>
      </c>
      <c r="G216" s="4" t="str">
        <f>IFERROR(__xludf.DUMMYFUNCTION("GOOGLETRANSLATE(B216,""en"",""ru"")"),"Общий доход")</f>
        <v>Общий доход</v>
      </c>
      <c r="H216" s="4" t="str">
        <f>IFERROR(__xludf.DUMMYFUNCTION("GOOGLETRANSLATE(B216,""en"",""it"")"),"Guadagni totali")</f>
        <v>Guadagni totali</v>
      </c>
      <c r="I216" s="4" t="str">
        <f>IFERROR(__xludf.DUMMYFUNCTION("GOOGLETRANSLATE(B216,""en"",""de"")"),"Gesamteinnahmen")</f>
        <v>Gesamteinnahmen</v>
      </c>
      <c r="J216" s="4" t="str">
        <f>IFERROR(__xludf.DUMMYFUNCTION("GOOGLETRANSLATE(B216,""en"",""ko"")"),"총 수입")</f>
        <v>총 수입</v>
      </c>
      <c r="K216" s="4" t="str">
        <f>IFERROR(__xludf.DUMMYFUNCTION("GOOGLETRANSLATE(B216,""en"",""zh"")"),"总收入")</f>
        <v>总收入</v>
      </c>
      <c r="L216" s="4" t="str">
        <f>IFERROR(__xludf.DUMMYFUNCTION("GOOGLETRANSLATE(B216,""en"",""es"")"),"Ganancias totales")</f>
        <v>Ganancias totales</v>
      </c>
      <c r="M216" s="4" t="str">
        <f>IFERROR(__xludf.DUMMYFUNCTION("GOOGLETRANSLATE(B216,""en"",""iw"")"),"סך הרווחים")</f>
        <v>סך הרווחים</v>
      </c>
      <c r="N216" s="4" t="str">
        <f>IFERROR(__xludf.DUMMYFUNCTION("GOOGLETRANSLATE(B216,""en"",""bn"")"),"মোট আয়")</f>
        <v>মোট আয়</v>
      </c>
      <c r="O216" s="4" t="str">
        <f>IFERROR(__xludf.DUMMYFUNCTION("GOOGLETRANSLATE(B216,""en"",""pt"")"),"Lucros Totais")</f>
        <v>Lucros Totais</v>
      </c>
    </row>
    <row r="217">
      <c r="A217" s="7" t="s">
        <v>632</v>
      </c>
      <c r="B217" s="9" t="s">
        <v>633</v>
      </c>
      <c r="C217" s="4" t="str">
        <f>IFERROR(__xludf.DUMMYFUNCTION("GOOGLETRANSLATE(B217,""en"",""hi"")"),"प्रतिवेदन")</f>
        <v>प्रतिवेदन</v>
      </c>
      <c r="D217" s="4" t="str">
        <f>IFERROR(__xludf.DUMMYFUNCTION("GOOGLETRANSLATE(B217,""en"",""ar"")"),"تقرير")</f>
        <v>تقرير</v>
      </c>
      <c r="E217" s="4" t="str">
        <f>IFERROR(__xludf.DUMMYFUNCTION("GOOGLETRANSLATE(B217,""en"",""fr"")"),"Rapport")</f>
        <v>Rapport</v>
      </c>
      <c r="F217" s="4" t="str">
        <f>IFERROR(__xludf.DUMMYFUNCTION("GOOGLETRANSLATE(B217,""en"",""tr"")"),"Rapor")</f>
        <v>Rapor</v>
      </c>
      <c r="G217" s="4" t="str">
        <f>IFERROR(__xludf.DUMMYFUNCTION("GOOGLETRANSLATE(B217,""en"",""ru"")"),"Отчет")</f>
        <v>Отчет</v>
      </c>
      <c r="H217" s="4" t="str">
        <f>IFERROR(__xludf.DUMMYFUNCTION("GOOGLETRANSLATE(B217,""en"",""it"")"),"Rapporto")</f>
        <v>Rapporto</v>
      </c>
      <c r="I217" s="4" t="str">
        <f>IFERROR(__xludf.DUMMYFUNCTION("GOOGLETRANSLATE(B217,""en"",""de"")"),"Bericht")</f>
        <v>Bericht</v>
      </c>
      <c r="J217" s="4" t="str">
        <f>IFERROR(__xludf.DUMMYFUNCTION("GOOGLETRANSLATE(B217,""en"",""ko"")"),"보고서")</f>
        <v>보고서</v>
      </c>
      <c r="K217" s="4" t="str">
        <f>IFERROR(__xludf.DUMMYFUNCTION("GOOGLETRANSLATE(B217,""en"",""zh"")"),"报告")</f>
        <v>报告</v>
      </c>
      <c r="L217" s="4" t="str">
        <f>IFERROR(__xludf.DUMMYFUNCTION("GOOGLETRANSLATE(B217,""en"",""es"")"),"Informe")</f>
        <v>Informe</v>
      </c>
      <c r="M217" s="4" t="str">
        <f>IFERROR(__xludf.DUMMYFUNCTION("GOOGLETRANSLATE(B217,""en"",""iw"")"),"דִוּוּחַ")</f>
        <v>דִוּוּחַ</v>
      </c>
      <c r="N217" s="4" t="str">
        <f>IFERROR(__xludf.DUMMYFUNCTION("GOOGLETRANSLATE(B217,""en"",""bn"")"),"রিপোর্ট")</f>
        <v>রিপোর্ট</v>
      </c>
      <c r="O217" s="4" t="str">
        <f>IFERROR(__xludf.DUMMYFUNCTION("GOOGLETRANSLATE(B217,""en"",""pt"")"),"Relatório")</f>
        <v>Relatório</v>
      </c>
    </row>
    <row r="218">
      <c r="A218" s="7" t="s">
        <v>634</v>
      </c>
      <c r="B218" s="9" t="s">
        <v>635</v>
      </c>
      <c r="C218" s="4" t="str">
        <f>IFERROR(__xludf.DUMMYFUNCTION("GOOGLETRANSLATE(B218,""en"",""hi"")"),"की तिथि से")</f>
        <v>की तिथि से</v>
      </c>
      <c r="D218" s="6" t="s">
        <v>636</v>
      </c>
      <c r="E218" s="4" t="str">
        <f>IFERROR(__xludf.DUMMYFUNCTION("GOOGLETRANSLATE(B218,""en"",""fr"")"),"À partir de la date")</f>
        <v>À partir de la date</v>
      </c>
      <c r="F218" s="4" t="str">
        <f>IFERROR(__xludf.DUMMYFUNCTION("GOOGLETRANSLATE(B218,""en"",""tr"")"),"Tarihten itibaren")</f>
        <v>Tarihten itibaren</v>
      </c>
      <c r="G218" s="4" t="str">
        <f>IFERROR(__xludf.DUMMYFUNCTION("GOOGLETRANSLATE(B218,""en"",""ru"")"),"С даты")</f>
        <v>С даты</v>
      </c>
      <c r="H218" s="4" t="str">
        <f>IFERROR(__xludf.DUMMYFUNCTION("GOOGLETRANSLATE(B218,""en"",""it"")"),"Da Data")</f>
        <v>Da Data</v>
      </c>
      <c r="I218" s="4" t="str">
        <f>IFERROR(__xludf.DUMMYFUNCTION("GOOGLETRANSLATE(B218,""en"",""de"")"),"Von Datum")</f>
        <v>Von Datum</v>
      </c>
      <c r="J218" s="4" t="str">
        <f>IFERROR(__xludf.DUMMYFUNCTION("GOOGLETRANSLATE(B218,""en"",""ko"")"),"날짜부터")</f>
        <v>날짜부터</v>
      </c>
      <c r="K218" s="4" t="str">
        <f>IFERROR(__xludf.DUMMYFUNCTION("GOOGLETRANSLATE(B218,""en"",""zh"")"),"起始日期")</f>
        <v>起始日期</v>
      </c>
      <c r="L218" s="4" t="str">
        <f>IFERROR(__xludf.DUMMYFUNCTION("GOOGLETRANSLATE(B218,""en"",""es"")"),"Desde Fecha")</f>
        <v>Desde Fecha</v>
      </c>
      <c r="M218" s="4" t="str">
        <f>IFERROR(__xludf.DUMMYFUNCTION("GOOGLETRANSLATE(B218,""en"",""iw"")"),"מתאריך")</f>
        <v>מתאריך</v>
      </c>
      <c r="N218" s="4" t="str">
        <f>IFERROR(__xludf.DUMMYFUNCTION("GOOGLETRANSLATE(B218,""en"",""bn"")"),"তারিখ থেকে")</f>
        <v>তারিখ থেকে</v>
      </c>
      <c r="O218" s="4" t="str">
        <f>IFERROR(__xludf.DUMMYFUNCTION("GOOGLETRANSLATE(B218,""en"",""pt"")"),"A partir da data")</f>
        <v>A partir da data</v>
      </c>
    </row>
    <row r="219">
      <c r="A219" s="7" t="s">
        <v>637</v>
      </c>
      <c r="B219" s="9" t="s">
        <v>638</v>
      </c>
      <c r="C219" s="4" t="str">
        <f>IFERROR(__xludf.DUMMYFUNCTION("GOOGLETRANSLATE(B219,""en"",""hi"")"),"तारीख तक")</f>
        <v>तारीख तक</v>
      </c>
      <c r="D219" s="6" t="s">
        <v>639</v>
      </c>
      <c r="E219" s="4" t="str">
        <f>IFERROR(__xludf.DUMMYFUNCTION("GOOGLETRANSLATE(B219,""en"",""fr"")"),"À ce jour")</f>
        <v>À ce jour</v>
      </c>
      <c r="F219" s="4" t="str">
        <f>IFERROR(__xludf.DUMMYFUNCTION("GOOGLETRANSLATE(B219,""en"",""tr"")"),"Bugüne kadar")</f>
        <v>Bugüne kadar</v>
      </c>
      <c r="G219" s="4" t="str">
        <f>IFERROR(__xludf.DUMMYFUNCTION("GOOGLETRANSLATE(B219,""en"",""ru"")"),"На сегодняшний день")</f>
        <v>На сегодняшний день</v>
      </c>
      <c r="H219" s="4" t="str">
        <f>IFERROR(__xludf.DUMMYFUNCTION("GOOGLETRANSLATE(B219,""en"",""it"")"),"Ad oggi")</f>
        <v>Ad oggi</v>
      </c>
      <c r="I219" s="4" t="str">
        <f>IFERROR(__xludf.DUMMYFUNCTION("GOOGLETRANSLATE(B219,""en"",""de"")"),"Miteinander ausgehen")</f>
        <v>Miteinander ausgehen</v>
      </c>
      <c r="J219" s="4" t="str">
        <f>IFERROR(__xludf.DUMMYFUNCTION("GOOGLETRANSLATE(B219,""en"",""ko"")"),"현재까지")</f>
        <v>현재까지</v>
      </c>
      <c r="K219" s="4" t="str">
        <f>IFERROR(__xludf.DUMMYFUNCTION("GOOGLETRANSLATE(B219,""en"",""zh"")"),"迄今为止")</f>
        <v>迄今为止</v>
      </c>
      <c r="L219" s="4" t="str">
        <f>IFERROR(__xludf.DUMMYFUNCTION("GOOGLETRANSLATE(B219,""en"",""es"")"),"Hasta la fecha")</f>
        <v>Hasta la fecha</v>
      </c>
      <c r="M219" s="4" t="str">
        <f>IFERROR(__xludf.DUMMYFUNCTION("GOOGLETRANSLATE(B219,""en"",""iw"")"),"עד היום")</f>
        <v>עד היום</v>
      </c>
      <c r="N219" s="4" t="str">
        <f>IFERROR(__xludf.DUMMYFUNCTION("GOOGLETRANSLATE(B219,""en"",""bn"")"),"তারিখ থেকে")</f>
        <v>তারিখ থেকে</v>
      </c>
      <c r="O219" s="4" t="str">
        <f>IFERROR(__xludf.DUMMYFUNCTION("GOOGLETRANSLATE(B219,""en"",""pt"")"),"A data")</f>
        <v>A data</v>
      </c>
    </row>
    <row r="220">
      <c r="A220" s="7" t="s">
        <v>640</v>
      </c>
      <c r="B220" s="9" t="s">
        <v>641</v>
      </c>
      <c r="C220" s="4" t="str">
        <f>IFERROR(__xludf.DUMMYFUNCTION("GOOGLETRANSLATE(B220,""en"",""hi"")"),"निकालना")</f>
        <v>निकालना</v>
      </c>
      <c r="D220" s="6" t="s">
        <v>642</v>
      </c>
      <c r="E220" s="4" t="str">
        <f>IFERROR(__xludf.DUMMYFUNCTION("GOOGLETRANSLATE(B220,""en"",""fr"")"),"Retirer")</f>
        <v>Retirer</v>
      </c>
      <c r="F220" s="4" t="str">
        <f>IFERROR(__xludf.DUMMYFUNCTION("GOOGLETRANSLATE(B220,""en"",""tr"")"),"Geri çekilmek")</f>
        <v>Geri çekilmek</v>
      </c>
      <c r="G220" s="4" t="str">
        <f>IFERROR(__xludf.DUMMYFUNCTION("GOOGLETRANSLATE(B220,""en"",""ru"")"),"Отзывать")</f>
        <v>Отзывать</v>
      </c>
      <c r="H220" s="4" t="str">
        <f>IFERROR(__xludf.DUMMYFUNCTION("GOOGLETRANSLATE(B220,""en"",""it"")"),"Ritirare")</f>
        <v>Ritirare</v>
      </c>
      <c r="I220" s="4" t="str">
        <f>IFERROR(__xludf.DUMMYFUNCTION("GOOGLETRANSLATE(B220,""en"",""de"")"),"Zurückziehen")</f>
        <v>Zurückziehen</v>
      </c>
      <c r="J220" s="4" t="str">
        <f>IFERROR(__xludf.DUMMYFUNCTION("GOOGLETRANSLATE(B220,""en"",""ko"")"),"철회하다")</f>
        <v>철회하다</v>
      </c>
      <c r="K220" s="4" t="str">
        <f>IFERROR(__xludf.DUMMYFUNCTION("GOOGLETRANSLATE(B220,""en"",""zh"")"),"提取")</f>
        <v>提取</v>
      </c>
      <c r="L220" s="4" t="str">
        <f>IFERROR(__xludf.DUMMYFUNCTION("GOOGLETRANSLATE(B220,""en"",""es"")"),"Retirar")</f>
        <v>Retirar</v>
      </c>
      <c r="M220" s="4" t="str">
        <f>IFERROR(__xludf.DUMMYFUNCTION("GOOGLETRANSLATE(B220,""en"",""iw"")"),"לָסֶגֶת")</f>
        <v>לָסֶגֶת</v>
      </c>
      <c r="N220" s="4" t="str">
        <f>IFERROR(__xludf.DUMMYFUNCTION("GOOGLETRANSLATE(B220,""en"",""bn"")"),"প্রত্যাহার করুন")</f>
        <v>প্রত্যাহার করুন</v>
      </c>
      <c r="O220" s="4" t="str">
        <f>IFERROR(__xludf.DUMMYFUNCTION("GOOGLETRANSLATE(B220,""en"",""pt"")"),"Retirar")</f>
        <v>Retirar</v>
      </c>
    </row>
    <row r="221">
      <c r="A221" s="7" t="s">
        <v>643</v>
      </c>
      <c r="B221" s="9" t="s">
        <v>644</v>
      </c>
      <c r="C221" s="4" t="str">
        <f>IFERROR(__xludf.DUMMYFUNCTION("GOOGLETRANSLATE(B221,""en"",""hi"")"),"इतिहास वापस लें")</f>
        <v>इतिहास वापस लें</v>
      </c>
      <c r="D221" s="6" t="s">
        <v>645</v>
      </c>
      <c r="E221" s="4" t="str">
        <f>IFERROR(__xludf.DUMMYFUNCTION("GOOGLETRANSLATE(B221,""en"",""fr"")"),"Historique de retrait")</f>
        <v>Historique de retrait</v>
      </c>
      <c r="F221" s="4" t="str">
        <f>IFERROR(__xludf.DUMMYFUNCTION("GOOGLETRANSLATE(B221,""en"",""tr"")"),"Para Çekme Geçmişi")</f>
        <v>Para Çekme Geçmişi</v>
      </c>
      <c r="G221" s="4" t="str">
        <f>IFERROR(__xludf.DUMMYFUNCTION("GOOGLETRANSLATE(B221,""en"",""ru"")"),"История вывода средств")</f>
        <v>История вывода средств</v>
      </c>
      <c r="H221" s="4" t="str">
        <f>IFERROR(__xludf.DUMMYFUNCTION("GOOGLETRANSLATE(B221,""en"",""it"")"),"Cronologia dei prelievi")</f>
        <v>Cronologia dei prelievi</v>
      </c>
      <c r="I221" s="4" t="str">
        <f>IFERROR(__xludf.DUMMYFUNCTION("GOOGLETRANSLATE(B221,""en"",""de"")"),"Auszahlungsverlauf")</f>
        <v>Auszahlungsverlauf</v>
      </c>
      <c r="J221" s="4" t="str">
        <f>IFERROR(__xludf.DUMMYFUNCTION("GOOGLETRANSLATE(B221,""en"",""ko"")"),"출금 내역")</f>
        <v>출금 내역</v>
      </c>
      <c r="K221" s="4" t="str">
        <f>IFERROR(__xludf.DUMMYFUNCTION("GOOGLETRANSLATE(B221,""en"",""zh"")"),"提现历史记录")</f>
        <v>提现历史记录</v>
      </c>
      <c r="L221" s="4" t="str">
        <f>IFERROR(__xludf.DUMMYFUNCTION("GOOGLETRANSLATE(B221,""en"",""es"")"),"Historial de retiros")</f>
        <v>Historial de retiros</v>
      </c>
      <c r="M221" s="4" t="str">
        <f>IFERROR(__xludf.DUMMYFUNCTION("GOOGLETRANSLATE(B221,""en"",""iw"")"),"למשוך את ההיסטוריה")</f>
        <v>למשוך את ההיסטוריה</v>
      </c>
      <c r="N221" s="4" t="str">
        <f>IFERROR(__xludf.DUMMYFUNCTION("GOOGLETRANSLATE(B221,""en"",""bn"")"),"ইতিহাস প্রত্যাহার করুন")</f>
        <v>ইতিহাস প্রত্যাহার করুন</v>
      </c>
      <c r="O221" s="4" t="str">
        <f>IFERROR(__xludf.DUMMYFUNCTION("GOOGLETRANSLATE(B221,""en"",""pt"")"),"Histórico de retiradas")</f>
        <v>Histórico de retiradas</v>
      </c>
    </row>
    <row r="222">
      <c r="A222" s="7" t="s">
        <v>646</v>
      </c>
      <c r="B222" s="9" t="s">
        <v>647</v>
      </c>
      <c r="C222" s="4" t="str">
        <f>IFERROR(__xludf.DUMMYFUNCTION("GOOGLETRANSLATE(B222,""en"",""hi"")"),"निकासी अनुरोध यहां")</f>
        <v>निकासी अनुरोध यहां</v>
      </c>
      <c r="D222" s="6" t="s">
        <v>648</v>
      </c>
      <c r="E222" s="4" t="str">
        <f>IFERROR(__xludf.DUMMYFUNCTION("GOOGLETRANSLATE(B222,""en"",""fr"")"),"Retirer la demande à")</f>
        <v>Retirer la demande à</v>
      </c>
      <c r="F222" s="4" t="str">
        <f>IFERROR(__xludf.DUMMYFUNCTION("GOOGLETRANSLATE(B222,""en"",""tr"")"),"Para Çekme Talebi")</f>
        <v>Para Çekme Talebi</v>
      </c>
      <c r="G222" s="4" t="str">
        <f>IFERROR(__xludf.DUMMYFUNCTION("GOOGLETRANSLATE(B222,""en"",""ru"")"),"Запрос на вывод средств")</f>
        <v>Запрос на вывод средств</v>
      </c>
      <c r="H222" s="4" t="str">
        <f>IFERROR(__xludf.DUMMYFUNCTION("GOOGLETRANSLATE(B222,""en"",""it"")"),"Ritira la richiesta a")</f>
        <v>Ritira la richiesta a</v>
      </c>
      <c r="I222" s="4" t="str">
        <f>IFERROR(__xludf.DUMMYFUNCTION("GOOGLETRANSLATE(B222,""en"",""de"")"),"Auszahlungsantrag bei")</f>
        <v>Auszahlungsantrag bei</v>
      </c>
      <c r="J222" s="4" t="str">
        <f>IFERROR(__xludf.DUMMYFUNCTION("GOOGLETRANSLATE(B222,""en"",""ko"")"),"출금 요청")</f>
        <v>출금 요청</v>
      </c>
      <c r="K222" s="4" t="str">
        <f>IFERROR(__xludf.DUMMYFUNCTION("GOOGLETRANSLATE(B222,""en"",""zh"")"),"提款请求")</f>
        <v>提款请求</v>
      </c>
      <c r="L222" s="4" t="str">
        <f>IFERROR(__xludf.DUMMYFUNCTION("GOOGLETRANSLATE(B222,""en"",""es"")"),"Solicitud de retiro en")</f>
        <v>Solicitud de retiro en</v>
      </c>
      <c r="M222" s="4" t="str">
        <f>IFERROR(__xludf.DUMMYFUNCTION("GOOGLETRANSLATE(B222,""en"",""iw"")"),"בטל את הבקשה ב")</f>
        <v>בטל את הבקשה ב</v>
      </c>
      <c r="N222" s="4" t="str">
        <f>IFERROR(__xludf.DUMMYFUNCTION("GOOGLETRANSLATE(B222,""en"",""bn"")"),"প্রত্যাহারের অনুরোধ এ")</f>
        <v>প্রত্যাহারের অনুরোধ এ</v>
      </c>
      <c r="O222" s="4" t="str">
        <f>IFERROR(__xludf.DUMMYFUNCTION("GOOGLETRANSLATE(B222,""en"",""pt"")"),"Solicitação de retirada em")</f>
        <v>Solicitação de retirada em</v>
      </c>
    </row>
    <row r="223">
      <c r="A223" s="7" t="s">
        <v>649</v>
      </c>
      <c r="B223" s="9" t="s">
        <v>650</v>
      </c>
      <c r="C223" s="4" t="str">
        <f>IFERROR(__xludf.DUMMYFUNCTION("GOOGLETRANSLATE(B223,""en"",""hi"")"),"बैंक विवरण")</f>
        <v>बैंक विवरण</v>
      </c>
      <c r="D223" s="6" t="s">
        <v>651</v>
      </c>
      <c r="E223" s="4" t="str">
        <f>IFERROR(__xludf.DUMMYFUNCTION("GOOGLETRANSLATE(B223,""en"",""fr"")"),"Coordonnées bancaires")</f>
        <v>Coordonnées bancaires</v>
      </c>
      <c r="F223" s="4" t="str">
        <f>IFERROR(__xludf.DUMMYFUNCTION("GOOGLETRANSLATE(B223,""en"",""tr"")"),"Banka Bilgileri")</f>
        <v>Banka Bilgileri</v>
      </c>
      <c r="G223" s="4" t="str">
        <f>IFERROR(__xludf.DUMMYFUNCTION("GOOGLETRANSLATE(B223,""en"",""ru"")"),"Банковские реквизиты")</f>
        <v>Банковские реквизиты</v>
      </c>
      <c r="H223" s="4" t="str">
        <f>IFERROR(__xludf.DUMMYFUNCTION("GOOGLETRANSLATE(B223,""en"",""it"")"),"Dettagli bancari")</f>
        <v>Dettagli bancari</v>
      </c>
      <c r="I223" s="4" t="str">
        <f>IFERROR(__xludf.DUMMYFUNCTION("GOOGLETRANSLATE(B223,""en"",""de"")"),"Bankverbindung")</f>
        <v>Bankverbindung</v>
      </c>
      <c r="J223" s="4" t="str">
        <f>IFERROR(__xludf.DUMMYFUNCTION("GOOGLETRANSLATE(B223,""en"",""ko"")"),"은행 세부 정보")</f>
        <v>은행 세부 정보</v>
      </c>
      <c r="K223" s="4" t="str">
        <f>IFERROR(__xludf.DUMMYFUNCTION("GOOGLETRANSLATE(B223,""en"",""zh"")"),"银行详细信息")</f>
        <v>银行详细信息</v>
      </c>
      <c r="L223" s="4" t="str">
        <f>IFERROR(__xludf.DUMMYFUNCTION("GOOGLETRANSLATE(B223,""en"",""es"")"),"Datos bancarios")</f>
        <v>Datos bancarios</v>
      </c>
      <c r="M223" s="4" t="str">
        <f>IFERROR(__xludf.DUMMYFUNCTION("GOOGLETRANSLATE(B223,""en"",""iw"")"),"פרטי בנק")</f>
        <v>פרטי בנק</v>
      </c>
      <c r="N223" s="4" t="str">
        <f>IFERROR(__xludf.DUMMYFUNCTION("GOOGLETRANSLATE(B223,""en"",""bn"")"),"ব্যাঙ্কের বিবরণ")</f>
        <v>ব্যাঙ্কের বিবরণ</v>
      </c>
      <c r="O223" s="4" t="str">
        <f>IFERROR(__xludf.DUMMYFUNCTION("GOOGLETRANSLATE(B223,""en"",""pt"")"),"Dados bancários")</f>
        <v>Dados bancários</v>
      </c>
    </row>
    <row r="224">
      <c r="A224" s="7" t="s">
        <v>652</v>
      </c>
      <c r="B224" s="9" t="s">
        <v>653</v>
      </c>
      <c r="C224" s="4" t="str">
        <f>IFERROR(__xludf.DUMMYFUNCTION("GOOGLETRANSLATE(B224,""en"",""hi"")"),"खाता धारक का नाम")</f>
        <v>खाता धारक का नाम</v>
      </c>
      <c r="D224" s="4" t="str">
        <f>IFERROR(__xludf.DUMMYFUNCTION("GOOGLETRANSLATE(B224,""en"",""ar"")"),"اسم صاحب الحساب")</f>
        <v>اسم صاحب الحساب</v>
      </c>
      <c r="E224" s="4" t="str">
        <f>IFERROR(__xludf.DUMMYFUNCTION("GOOGLETRANSLATE(B224,""en"",""fr"")"),"Nom du titulaire du compte")</f>
        <v>Nom du titulaire du compte</v>
      </c>
      <c r="F224" s="4" t="str">
        <f>IFERROR(__xludf.DUMMYFUNCTION("GOOGLETRANSLATE(B224,""en"",""tr"")"),"Hesap Sahibinin Adı")</f>
        <v>Hesap Sahibinin Adı</v>
      </c>
      <c r="G224" s="4" t="str">
        <f>IFERROR(__xludf.DUMMYFUNCTION("GOOGLETRANSLATE(B224,""en"",""ru"")"),"Имя владельца счета")</f>
        <v>Имя владельца счета</v>
      </c>
      <c r="H224" s="4" t="str">
        <f>IFERROR(__xludf.DUMMYFUNCTION("GOOGLETRANSLATE(B224,""en"",""it"")"),"Nome del titolare del conto")</f>
        <v>Nome del titolare del conto</v>
      </c>
      <c r="I224" s="4" t="str">
        <f>IFERROR(__xludf.DUMMYFUNCTION("GOOGLETRANSLATE(B224,""en"",""de"")"),"Name des Kontoinhabers")</f>
        <v>Name des Kontoinhabers</v>
      </c>
      <c r="J224" s="4" t="str">
        <f>IFERROR(__xludf.DUMMYFUNCTION("GOOGLETRANSLATE(B224,""en"",""ko"")"),"계좌 소유자 이름")</f>
        <v>계좌 소유자 이름</v>
      </c>
      <c r="K224" s="4" t="str">
        <f>IFERROR(__xludf.DUMMYFUNCTION("GOOGLETRANSLATE(B224,""en"",""zh"")"),"账户持有人姓名")</f>
        <v>账户持有人姓名</v>
      </c>
      <c r="L224" s="4" t="str">
        <f>IFERROR(__xludf.DUMMYFUNCTION("GOOGLETRANSLATE(B224,""en"",""es"")"),"Nombre del titular de la cuenta")</f>
        <v>Nombre del titular de la cuenta</v>
      </c>
      <c r="M224" s="4" t="str">
        <f>IFERROR(__xludf.DUMMYFUNCTION("GOOGLETRANSLATE(B224,""en"",""iw"")"),"שם בעל החשבון")</f>
        <v>שם בעל החשבון</v>
      </c>
      <c r="N224" s="4" t="str">
        <f>IFERROR(__xludf.DUMMYFUNCTION("GOOGLETRANSLATE(B224,""en"",""bn"")"),"অ্যাকাউন্ট হোল্ডারের নাম")</f>
        <v>অ্যাকাউন্ট হোল্ডারের নাম</v>
      </c>
      <c r="O224" s="4" t="str">
        <f>IFERROR(__xludf.DUMMYFUNCTION("GOOGLETRANSLATE(B224,""en"",""pt"")"),"Nome do titular da conta")</f>
        <v>Nome do titular da conta</v>
      </c>
    </row>
    <row r="225">
      <c r="A225" s="7" t="s">
        <v>654</v>
      </c>
      <c r="B225" s="9" t="s">
        <v>655</v>
      </c>
      <c r="C225" s="4" t="str">
        <f>IFERROR(__xludf.DUMMYFUNCTION("GOOGLETRANSLATE(B225,""en"",""hi"")"),"खाता संख्या")</f>
        <v>खाता संख्या</v>
      </c>
      <c r="D225" s="6" t="s">
        <v>656</v>
      </c>
      <c r="E225" s="4" t="str">
        <f>IFERROR(__xludf.DUMMYFUNCTION("GOOGLETRANSLATE(B225,""en"",""fr"")"),"Numéro de compte")</f>
        <v>Numéro de compte</v>
      </c>
      <c r="F225" s="4" t="str">
        <f>IFERROR(__xludf.DUMMYFUNCTION("GOOGLETRANSLATE(B225,""en"",""tr"")"),"Hesap Numarası")</f>
        <v>Hesap Numarası</v>
      </c>
      <c r="G225" s="4" t="str">
        <f>IFERROR(__xludf.DUMMYFUNCTION("GOOGLETRANSLATE(B225,""en"",""ru"")"),"Номер счета")</f>
        <v>Номер счета</v>
      </c>
      <c r="H225" s="4" t="str">
        <f>IFERROR(__xludf.DUMMYFUNCTION("GOOGLETRANSLATE(B225,""en"",""it"")"),"Numero di conto")</f>
        <v>Numero di conto</v>
      </c>
      <c r="I225" s="4" t="str">
        <f>IFERROR(__xludf.DUMMYFUNCTION("GOOGLETRANSLATE(B225,""en"",""de"")"),"Kontonummer")</f>
        <v>Kontonummer</v>
      </c>
      <c r="J225" s="4" t="str">
        <f>IFERROR(__xludf.DUMMYFUNCTION("GOOGLETRANSLATE(B225,""en"",""ko"")"),"계좌번호")</f>
        <v>계좌번호</v>
      </c>
      <c r="K225" s="4" t="str">
        <f>IFERROR(__xludf.DUMMYFUNCTION("GOOGLETRANSLATE(B225,""en"",""zh"")"),"帐号")</f>
        <v>帐号</v>
      </c>
      <c r="L225" s="4" t="str">
        <f>IFERROR(__xludf.DUMMYFUNCTION("GOOGLETRANSLATE(B225,""en"",""es"")"),"Número de cuenta")</f>
        <v>Número de cuenta</v>
      </c>
      <c r="M225" s="4" t="str">
        <f>IFERROR(__xludf.DUMMYFUNCTION("GOOGLETRANSLATE(B225,""en"",""iw"")"),"מספר חשבון")</f>
        <v>מספר חשבון</v>
      </c>
      <c r="N225" s="4" t="str">
        <f>IFERROR(__xludf.DUMMYFUNCTION("GOOGLETRANSLATE(B225,""en"",""bn"")"),"অ্যাকাউন্ট নম্বর")</f>
        <v>অ্যাকাউন্ট নম্বর</v>
      </c>
      <c r="O225" s="4" t="str">
        <f>IFERROR(__xludf.DUMMYFUNCTION("GOOGLETRANSLATE(B225,""en"",""pt"")"),"Número de conta")</f>
        <v>Número de conta</v>
      </c>
    </row>
    <row r="226">
      <c r="A226" s="7" t="s">
        <v>657</v>
      </c>
      <c r="B226" s="9" t="s">
        <v>658</v>
      </c>
      <c r="C226" s="4" t="str">
        <f>IFERROR(__xludf.DUMMYFUNCTION("GOOGLETRANSLATE(B226,""en"",""hi"")"),"बैंक का सांकेतिक अंक")</f>
        <v>बैंक का सांकेतिक अंक</v>
      </c>
      <c r="D226" s="6" t="s">
        <v>659</v>
      </c>
      <c r="E226" s="4" t="str">
        <f>IFERROR(__xludf.DUMMYFUNCTION("GOOGLETRANSLATE(B226,""en"",""fr"")"),"Code bancaire")</f>
        <v>Code bancaire</v>
      </c>
      <c r="F226" s="4" t="str">
        <f>IFERROR(__xludf.DUMMYFUNCTION("GOOGLETRANSLATE(B226,""en"",""tr"")"),"Banka Kodu")</f>
        <v>Banka Kodu</v>
      </c>
      <c r="G226" s="4" t="str">
        <f>IFERROR(__xludf.DUMMYFUNCTION("GOOGLETRANSLATE(B226,""en"",""ru"")"),"Код банка")</f>
        <v>Код банка</v>
      </c>
      <c r="H226" s="4" t="str">
        <f>IFERROR(__xludf.DUMMYFUNCTION("GOOGLETRANSLATE(B226,""en"",""it"")"),"Codice bancario")</f>
        <v>Codice bancario</v>
      </c>
      <c r="I226" s="4" t="str">
        <f>IFERROR(__xludf.DUMMYFUNCTION("GOOGLETRANSLATE(B226,""en"",""de"")"),"Bankleitzahl")</f>
        <v>Bankleitzahl</v>
      </c>
      <c r="J226" s="4" t="str">
        <f>IFERROR(__xludf.DUMMYFUNCTION("GOOGLETRANSLATE(B226,""en"",""ko"")"),"은행 코드")</f>
        <v>은행 코드</v>
      </c>
      <c r="K226" s="4" t="str">
        <f>IFERROR(__xludf.DUMMYFUNCTION("GOOGLETRANSLATE(B226,""en"",""zh"")"),"银行代码")</f>
        <v>银行代码</v>
      </c>
      <c r="L226" s="4" t="str">
        <f>IFERROR(__xludf.DUMMYFUNCTION("GOOGLETRANSLATE(B226,""en"",""es"")"),"Código bancario")</f>
        <v>Código bancario</v>
      </c>
      <c r="M226" s="4" t="str">
        <f>IFERROR(__xludf.DUMMYFUNCTION("GOOGLETRANSLATE(B226,""en"",""iw"")"),"קוד בנק")</f>
        <v>קוד בנק</v>
      </c>
      <c r="N226" s="4" t="str">
        <f>IFERROR(__xludf.DUMMYFUNCTION("GOOGLETRANSLATE(B226,""en"",""bn"")"),"ব্যাঙ্ক কোড")</f>
        <v>ব্যাঙ্ক কোড</v>
      </c>
      <c r="O226" s="4" t="str">
        <f>IFERROR(__xludf.DUMMYFUNCTION("GOOGLETRANSLATE(B226,""en"",""pt"")"),"Código do Banco")</f>
        <v>Código do Banco</v>
      </c>
    </row>
    <row r="227">
      <c r="A227" s="7" t="s">
        <v>660</v>
      </c>
      <c r="B227" s="9" t="s">
        <v>661</v>
      </c>
      <c r="C227" s="4" t="str">
        <f>IFERROR(__xludf.DUMMYFUNCTION("GOOGLETRANSLATE(B227,""en"",""hi"")"),"बैंक का नाम")</f>
        <v>बैंक का नाम</v>
      </c>
      <c r="D227" s="6" t="s">
        <v>662</v>
      </c>
      <c r="E227" s="4" t="str">
        <f>IFERROR(__xludf.DUMMYFUNCTION("GOOGLETRANSLATE(B227,""en"",""fr"")"),"Nom de la banque")</f>
        <v>Nom de la banque</v>
      </c>
      <c r="F227" s="4" t="str">
        <f>IFERROR(__xludf.DUMMYFUNCTION("GOOGLETRANSLATE(B227,""en"",""tr"")"),"Banka Adı")</f>
        <v>Banka Adı</v>
      </c>
      <c r="G227" s="4" t="str">
        <f>IFERROR(__xludf.DUMMYFUNCTION("GOOGLETRANSLATE(B227,""en"",""ru"")"),"Название банка")</f>
        <v>Название банка</v>
      </c>
      <c r="H227" s="4" t="str">
        <f>IFERROR(__xludf.DUMMYFUNCTION("GOOGLETRANSLATE(B227,""en"",""it"")"),"Nome della banca")</f>
        <v>Nome della banca</v>
      </c>
      <c r="I227" s="4" t="str">
        <f>IFERROR(__xludf.DUMMYFUNCTION("GOOGLETRANSLATE(B227,""en"",""de"")"),"Name der Bank")</f>
        <v>Name der Bank</v>
      </c>
      <c r="J227" s="4" t="str">
        <f>IFERROR(__xludf.DUMMYFUNCTION("GOOGLETRANSLATE(B227,""en"",""ko"")"),"은행 이름")</f>
        <v>은행 이름</v>
      </c>
      <c r="K227" s="4" t="str">
        <f>IFERROR(__xludf.DUMMYFUNCTION("GOOGLETRANSLATE(B227,""en"",""zh"")"),"银行名称")</f>
        <v>银行名称</v>
      </c>
      <c r="L227" s="4" t="str">
        <f>IFERROR(__xludf.DUMMYFUNCTION("GOOGLETRANSLATE(B227,""en"",""es"")"),"Nombre del banco")</f>
        <v>Nombre del banco</v>
      </c>
      <c r="M227" s="4" t="str">
        <f>IFERROR(__xludf.DUMMYFUNCTION("GOOGLETRANSLATE(B227,""en"",""iw"")"),"שם הבנק")</f>
        <v>שם הבנק</v>
      </c>
      <c r="N227" s="4" t="str">
        <f>IFERROR(__xludf.DUMMYFUNCTION("GOOGLETRANSLATE(B227,""en"",""bn"")"),"ব্যাঙ্কের নাম")</f>
        <v>ব্যাঙ্কের নাম</v>
      </c>
      <c r="O227" s="4" t="str">
        <f>IFERROR(__xludf.DUMMYFUNCTION("GOOGLETRANSLATE(B227,""en"",""pt"")"),"Nome do banco")</f>
        <v>Nome do banco</v>
      </c>
    </row>
    <row r="228">
      <c r="A228" s="7" t="s">
        <v>663</v>
      </c>
      <c r="B228" s="9" t="s">
        <v>664</v>
      </c>
      <c r="C228" s="4" t="str">
        <f>IFERROR(__xludf.DUMMYFUNCTION("GOOGLETRANSLATE(B228,""en"",""hi"")"),"बैंक जानकारी अपडेट करें")</f>
        <v>बैंक जानकारी अपडेट करें</v>
      </c>
      <c r="D228" s="4" t="str">
        <f>IFERROR(__xludf.DUMMYFUNCTION("GOOGLETRANSLATE(B228,""en"",""ar"")"),"تحديث معلومات البنك")</f>
        <v>تحديث معلومات البنك</v>
      </c>
      <c r="E228" s="4" t="str">
        <f>IFERROR(__xludf.DUMMYFUNCTION("GOOGLETRANSLATE(B228,""en"",""fr"")"),"Mettre à jour les informations bancaires")</f>
        <v>Mettre à jour les informations bancaires</v>
      </c>
      <c r="F228" s="4" t="str">
        <f>IFERROR(__xludf.DUMMYFUNCTION("GOOGLETRANSLATE(B228,""en"",""tr"")"),"Banka Bilgilerini Güncelle")</f>
        <v>Banka Bilgilerini Güncelle</v>
      </c>
      <c r="G228" s="4" t="str">
        <f>IFERROR(__xludf.DUMMYFUNCTION("GOOGLETRANSLATE(B228,""en"",""ru"")"),"Обновить банковскую информацию")</f>
        <v>Обновить банковскую информацию</v>
      </c>
      <c r="H228" s="4" t="str">
        <f>IFERROR(__xludf.DUMMYFUNCTION("GOOGLETRANSLATE(B228,""en"",""it"")"),"Aggiorna le informazioni bancarie")</f>
        <v>Aggiorna le informazioni bancarie</v>
      </c>
      <c r="I228" s="4" t="str">
        <f>IFERROR(__xludf.DUMMYFUNCTION("GOOGLETRANSLATE(B228,""en"",""de"")"),"Bankdaten aktualisieren")</f>
        <v>Bankdaten aktualisieren</v>
      </c>
      <c r="J228" s="4" t="str">
        <f>IFERROR(__xludf.DUMMYFUNCTION("GOOGLETRANSLATE(B228,""en"",""ko"")"),"은행 정보 업데이트")</f>
        <v>은행 정보 업데이트</v>
      </c>
      <c r="K228" s="4" t="str">
        <f>IFERROR(__xludf.DUMMYFUNCTION("GOOGLETRANSLATE(B228,""en"",""zh"")"),"更新银行信息")</f>
        <v>更新银行信息</v>
      </c>
      <c r="L228" s="4" t="str">
        <f>IFERROR(__xludf.DUMMYFUNCTION("GOOGLETRANSLATE(B228,""en"",""es"")"),"Actualizar información bancaria")</f>
        <v>Actualizar información bancaria</v>
      </c>
      <c r="M228" s="4" t="str">
        <f>IFERROR(__xludf.DUMMYFUNCTION("GOOGLETRANSLATE(B228,""en"",""iw"")"),"עדכן את פרטי הבנק")</f>
        <v>עדכן את פרטי הבנק</v>
      </c>
      <c r="N228" s="4" t="str">
        <f>IFERROR(__xludf.DUMMYFUNCTION("GOOGLETRANSLATE(B228,""en"",""bn"")"),"ব্যাঙ্কের তথ্য আপডেট করুন")</f>
        <v>ব্যাঙ্কের তথ্য আপডেট করুন</v>
      </c>
      <c r="O228" s="4" t="str">
        <f>IFERROR(__xludf.DUMMYFUNCTION("GOOGLETRANSLATE(B228,""en"",""pt"")"),"Atualizar informações bancárias")</f>
        <v>Atualizar informações bancárias</v>
      </c>
    </row>
    <row r="229">
      <c r="A229" s="7" t="s">
        <v>665</v>
      </c>
      <c r="B229" s="9" t="s">
        <v>666</v>
      </c>
      <c r="C229" s="4" t="str">
        <f>IFERROR(__xludf.DUMMYFUNCTION("GOOGLETRANSLATE(B229,""en"",""hi"")"),"क्या आप वाकई लॉगआउट करना चाहते हैं?")</f>
        <v>क्या आप वाकई लॉगआउट करना चाहते हैं?</v>
      </c>
      <c r="D229" s="6" t="s">
        <v>667</v>
      </c>
      <c r="E229" s="4" t="str">
        <f>IFERROR(__xludf.DUMMYFUNCTION("GOOGLETRANSLATE(B229,""en"",""fr"")"),"Êtes-vous sûr de vouloir vous déconnecter ?")</f>
        <v>Êtes-vous sûr de vouloir vous déconnecter ?</v>
      </c>
      <c r="F229" s="4" t="str">
        <f>IFERROR(__xludf.DUMMYFUNCTION("GOOGLETRANSLATE(B229,""en"",""tr"")"),"Çıkış yapmak istediğinizden emin misiniz?")</f>
        <v>Çıkış yapmak istediğinizden emin misiniz?</v>
      </c>
      <c r="G229" s="4" t="str">
        <f>IFERROR(__xludf.DUMMYFUNCTION("GOOGLETRANSLATE(B229,""en"",""ru"")"),"Вы уверены, что хотите выйти?")</f>
        <v>Вы уверены, что хотите выйти?</v>
      </c>
      <c r="H229" s="4" t="str">
        <f>IFERROR(__xludf.DUMMYFUNCTION("GOOGLETRANSLATE(B229,""en"",""it"")"),"Vuoi davvero disconnetterti?")</f>
        <v>Vuoi davvero disconnetterti?</v>
      </c>
      <c r="I229" s="4" t="str">
        <f>IFERROR(__xludf.DUMMYFUNCTION("GOOGLETRANSLATE(B229,""en"",""de"")"),"Möchten Sie sich wirklich abmelden?")</f>
        <v>Möchten Sie sich wirklich abmelden?</v>
      </c>
      <c r="J229" s="4" t="str">
        <f>IFERROR(__xludf.DUMMYFUNCTION("GOOGLETRANSLATE(B229,""en"",""ko"")"),"로그아웃하시겠습니까?")</f>
        <v>로그아웃하시겠습니까?</v>
      </c>
      <c r="K229" s="4" t="str">
        <f>IFERROR(__xludf.DUMMYFUNCTION("GOOGLETRANSLATE(B229,""en"",""zh"")"),"您确定要退出吗")</f>
        <v>您确定要退出吗</v>
      </c>
      <c r="L229" s="4" t="str">
        <f>IFERROR(__xludf.DUMMYFUNCTION("GOOGLETRANSLATE(B229,""en"",""es"")"),"¿Estás seguro de que deseas cerrar sesión?")</f>
        <v>¿Estás seguro de que deseas cerrar sesión?</v>
      </c>
      <c r="M229" s="4" t="str">
        <f>IFERROR(__xludf.DUMMYFUNCTION("GOOGLETRANSLATE(B229,""en"",""iw"")"),"האם אתה בטוח רוצה להתנתק")</f>
        <v>האם אתה בטוח רוצה להתנתק</v>
      </c>
      <c r="N229" s="4" t="str">
        <f>IFERROR(__xludf.DUMMYFUNCTION("GOOGLETRANSLATE(B229,""en"",""bn"")"),"আপনি কি নিশ্চিত লগআউট করতে চান?")</f>
        <v>আপনি কি নিশ্চিত লগআউট করতে চান?</v>
      </c>
      <c r="O229" s="4" t="str">
        <f>IFERROR(__xludf.DUMMYFUNCTION("GOOGLETRANSLATE(B229,""en"",""pt"")"),"Tem certeza de que deseja sair?")</f>
        <v>Tem certeza de que deseja sair?</v>
      </c>
    </row>
    <row r="230">
      <c r="A230" s="7" t="s">
        <v>668</v>
      </c>
      <c r="B230" s="9" t="s">
        <v>247</v>
      </c>
      <c r="C230" s="4" t="str">
        <f>IFERROR(__xludf.DUMMYFUNCTION("GOOGLETRANSLATE(B230,""en"",""hi"")"),"बटुआ")</f>
        <v>बटुआ</v>
      </c>
      <c r="D230" s="6" t="s">
        <v>248</v>
      </c>
      <c r="E230" s="4" t="str">
        <f>IFERROR(__xludf.DUMMYFUNCTION("GOOGLETRANSLATE(B230,""en"",""fr"")"),"Portefeuille")</f>
        <v>Portefeuille</v>
      </c>
      <c r="F230" s="4" t="str">
        <f>IFERROR(__xludf.DUMMYFUNCTION("GOOGLETRANSLATE(B230,""en"",""tr"")"),"Cüzdan")</f>
        <v>Cüzdan</v>
      </c>
      <c r="G230" s="4" t="str">
        <f>IFERROR(__xludf.DUMMYFUNCTION("GOOGLETRANSLATE(B230,""en"",""ru"")"),"Кошелек")</f>
        <v>Кошелек</v>
      </c>
      <c r="H230" s="4" t="str">
        <f>IFERROR(__xludf.DUMMYFUNCTION("GOOGLETRANSLATE(B230,""en"",""it"")"),"Portafoglio")</f>
        <v>Portafoglio</v>
      </c>
      <c r="I230" s="4" t="str">
        <f>IFERROR(__xludf.DUMMYFUNCTION("GOOGLETRANSLATE(B230,""en"",""de"")"),"Geldbörse")</f>
        <v>Geldbörse</v>
      </c>
      <c r="J230" s="4" t="str">
        <f>IFERROR(__xludf.DUMMYFUNCTION("GOOGLETRANSLATE(B230,""en"",""ko"")"),"지갑")</f>
        <v>지갑</v>
      </c>
      <c r="K230" s="4" t="str">
        <f>IFERROR(__xludf.DUMMYFUNCTION("GOOGLETRANSLATE(B230,""en"",""zh"")"),"钱包")</f>
        <v>钱包</v>
      </c>
      <c r="L230" s="4" t="str">
        <f>IFERROR(__xludf.DUMMYFUNCTION("GOOGLETRANSLATE(B230,""en"",""es"")"),"Billetera")</f>
        <v>Billetera</v>
      </c>
      <c r="M230" s="4" t="str">
        <f>IFERROR(__xludf.DUMMYFUNCTION("GOOGLETRANSLATE(B230,""en"",""iw"")"),"אַרְנָק")</f>
        <v>אַרְנָק</v>
      </c>
      <c r="N230" s="4" t="str">
        <f>IFERROR(__xludf.DUMMYFUNCTION("GOOGLETRANSLATE(B230,""en"",""bn"")"),"ওয়ালেট")</f>
        <v>ওয়ালেট</v>
      </c>
      <c r="O230" s="4" t="str">
        <f>IFERROR(__xludf.DUMMYFUNCTION("GOOGLETRANSLATE(B230,""en"",""pt"")"),"Carteira")</f>
        <v>Carteira</v>
      </c>
    </row>
    <row r="231">
      <c r="A231" s="7" t="s">
        <v>669</v>
      </c>
      <c r="B231" s="9" t="s">
        <v>670</v>
      </c>
      <c r="C231" s="4" t="str">
        <f>IFERROR(__xludf.DUMMYFUNCTION("GOOGLETRANSLATE(B231,""en"",""hi"")"),"OTP के साथ यात्रा शुरू करें")</f>
        <v>OTP के साथ यात्रा शुरू करें</v>
      </c>
      <c r="D231" s="6" t="s">
        <v>671</v>
      </c>
      <c r="E231" s="4" t="str">
        <f>IFERROR(__xludf.DUMMYFUNCTION("GOOGLETRANSLATE(B231,""en"",""fr"")"),"Commencez votre balade avec OTP")</f>
        <v>Commencez votre balade avec OTP</v>
      </c>
      <c r="F231" s="4" t="str">
        <f>IFERROR(__xludf.DUMMYFUNCTION("GOOGLETRANSLATE(B231,""en"",""tr"")"),"OTP ile Yolculuğa Başlayın")</f>
        <v>OTP ile Yolculuğa Başlayın</v>
      </c>
      <c r="G231" s="4" t="str">
        <f>IFERROR(__xludf.DUMMYFUNCTION("GOOGLETRANSLATE(B231,""en"",""ru"")"),"Начать поездку с OTP")</f>
        <v>Начать поездку с OTP</v>
      </c>
      <c r="H231" s="4" t="str">
        <f>IFERROR(__xludf.DUMMYFUNCTION("GOOGLETRANSLATE(B231,""en"",""it"")"),"Inizia il viaggio con OTP")</f>
        <v>Inizia il viaggio con OTP</v>
      </c>
      <c r="I231" s="4" t="str">
        <f>IFERROR(__xludf.DUMMYFUNCTION("GOOGLETRANSLATE(B231,""en"",""de"")"),"Fahrt mit OTP starten")</f>
        <v>Fahrt mit OTP starten</v>
      </c>
      <c r="J231" s="4" t="str">
        <f>IFERROR(__xludf.DUMMYFUNCTION("GOOGLETRANSLATE(B231,""en"",""ko"")"),"OTP로 라이드 시작")</f>
        <v>OTP로 라이드 시작</v>
      </c>
      <c r="K231" s="4" t="str">
        <f>IFERROR(__xludf.DUMMYFUNCTION("GOOGLETRANSLATE(B231,""en"",""zh"")"),"使用 OTP 开始行程")</f>
        <v>使用 OTP 开始行程</v>
      </c>
      <c r="L231" s="4" t="str">
        <f>IFERROR(__xludf.DUMMYFUNCTION("GOOGLETRANSLATE(B231,""en"",""es"")"),"Iniciar viaje con OTP")</f>
        <v>Iniciar viaje con OTP</v>
      </c>
      <c r="M231" s="4" t="str">
        <f>IFERROR(__xludf.DUMMYFUNCTION("GOOGLETRANSLATE(B231,""en"",""iw"")"),"התחל רכיבה עם OTP")</f>
        <v>התחל רכיבה עם OTP</v>
      </c>
      <c r="N231" s="4" t="str">
        <f>IFERROR(__xludf.DUMMYFUNCTION("GOOGLETRANSLATE(B231,""en"",""bn"")"),"OTP দিয়ে রাইড শুরু করুন")</f>
        <v>OTP দিয়ে রাইড শুরু করুন</v>
      </c>
      <c r="O231" s="4" t="str">
        <f>IFERROR(__xludf.DUMMYFUNCTION("GOOGLETRANSLATE(B231,""en"",""pt"")"),"Comece a pedalar com OTP")</f>
        <v>Comece a pedalar com OTP</v>
      </c>
    </row>
    <row r="232">
      <c r="A232" s="7" t="s">
        <v>672</v>
      </c>
      <c r="B232" s="9" t="s">
        <v>673</v>
      </c>
      <c r="C232" s="4" t="str">
        <f>IFERROR(__xludf.DUMMYFUNCTION("GOOGLETRANSLATE(B232,""en"",""hi"")"),"स्थानीयकरण लोड हो रहा है")</f>
        <v>स्थानीयकरण लोड हो रहा है</v>
      </c>
      <c r="D232" s="6" t="s">
        <v>674</v>
      </c>
      <c r="E232" s="4" t="str">
        <f>IFERROR(__xludf.DUMMYFUNCTION("GOOGLETRANSLATE(B232,""en"",""fr"")"),"Chargement de la localisation")</f>
        <v>Chargement de la localisation</v>
      </c>
      <c r="F232" s="4" t="str">
        <f>IFERROR(__xludf.DUMMYFUNCTION("GOOGLETRANSLATE(B232,""en"",""tr"")"),"Yerelleştirme Yükleniyor")</f>
        <v>Yerelleştirme Yükleniyor</v>
      </c>
      <c r="G232" s="4" t="str">
        <f>IFERROR(__xludf.DUMMYFUNCTION("GOOGLETRANSLATE(B232,""en"",""ru"")"),"Загрузка локализации")</f>
        <v>Загрузка локализации</v>
      </c>
      <c r="H232" s="4" t="str">
        <f>IFERROR(__xludf.DUMMYFUNCTION("GOOGLETRANSLATE(B232,""en"",""it"")"),"Caricamento della localizzazione")</f>
        <v>Caricamento della localizzazione</v>
      </c>
      <c r="I232" s="4" t="str">
        <f>IFERROR(__xludf.DUMMYFUNCTION("GOOGLETRANSLATE(B232,""en"",""de"")"),"Lokalisierung wird geladen")</f>
        <v>Lokalisierung wird geladen</v>
      </c>
      <c r="J232" s="4" t="str">
        <f>IFERROR(__xludf.DUMMYFUNCTION("GOOGLETRANSLATE(B232,""en"",""ko"")"),"로컬라이제이션 로딩 중")</f>
        <v>로컬라이제이션 로딩 중</v>
      </c>
      <c r="K232" s="4" t="str">
        <f>IFERROR(__xludf.DUMMYFUNCTION("GOOGLETRANSLATE(B232,""en"",""zh"")"),"加载本地化")</f>
        <v>加载本地化</v>
      </c>
      <c r="L232" s="4" t="str">
        <f>IFERROR(__xludf.DUMMYFUNCTION("GOOGLETRANSLATE(B232,""en"",""es"")"),"Cargando localización")</f>
        <v>Cargando localización</v>
      </c>
      <c r="M232" s="4" t="str">
        <f>IFERROR(__xludf.DUMMYFUNCTION("GOOGLETRANSLATE(B232,""en"",""iw"")"),"טוען לוקליזציה")</f>
        <v>טוען לוקליזציה</v>
      </c>
      <c r="N232" s="4" t="str">
        <f>IFERROR(__xludf.DUMMYFUNCTION("GOOGLETRANSLATE(B232,""en"",""bn"")"),"স্থানীয়করণ লোড হচ্ছে")</f>
        <v>স্থানীয়করণ লোড হচ্ছে</v>
      </c>
      <c r="O232" s="4" t="str">
        <f>IFERROR(__xludf.DUMMYFUNCTION("GOOGLETRANSLATE(B232,""en"",""pt"")"),"Carregando localização")</f>
        <v>Carregando localização</v>
      </c>
    </row>
    <row r="233">
      <c r="A233" s="7" t="s">
        <v>675</v>
      </c>
      <c r="B233" s="9" t="s">
        <v>676</v>
      </c>
      <c r="C233" s="4" t="str">
        <f>IFERROR(__xludf.DUMMYFUNCTION("GOOGLETRANSLATE(B233,""en"",""hi"")"),"पृष्ठभूमि स्थान सक्षम करें - ताकि आपका ऐप पृष्ठभूमि में होने पर भी आपको सवारी का अनुरोध मिल सके")</f>
        <v>पृष्ठभूमि स्थान सक्षम करें - ताकि आपका ऐप पृष्ठभूमि में होने पर भी आपको सवारी का अनुरोध मिल सके</v>
      </c>
      <c r="D233" s="6" t="s">
        <v>677</v>
      </c>
      <c r="E233" s="4" t="str">
        <f>IFERROR(__xludf.DUMMYFUNCTION("GOOGLETRANSLATE(B233,""en"",""fr"")"),"Activer la localisation en arrière-plan - pour vous donner une demande de course même si votre application est en arrière-plan")</f>
        <v>Activer la localisation en arrière-plan - pour vous donner une demande de course même si votre application est en arrière-plan</v>
      </c>
      <c r="F233" s="4" t="str">
        <f>IFERROR(__xludf.DUMMYFUNCTION("GOOGLETRANSLATE(B233,""en"",""tr"")"),"Arka Plan Konumunu Etkinleştir - Uygulamanız arka planda olsa bile size yolculuk isteği göndermek için")</f>
        <v>Arka Plan Konumunu Etkinleştir - Uygulamanız arka planda olsa bile size yolculuk isteği göndermek için</v>
      </c>
      <c r="G233" s="4" t="str">
        <f>IFERROR(__xludf.DUMMYFUNCTION("GOOGLETRANSLATE(B233,""en"",""ru"")"),"Включить функцию определения местоположения в фоновом режиме — чтобы вы могли запрашивать поездку, даже если приложение работает в фоновом режиме.")</f>
        <v>Включить функцию определения местоположения в фоновом режиме — чтобы вы могли запрашивать поездку, даже если приложение работает в фоновом режиме.</v>
      </c>
      <c r="H233" s="4" t="str">
        <f>IFERROR(__xludf.DUMMYFUNCTION("GOOGLETRANSLATE(B233,""en"",""it"")"),"Abilita la posizione in background: per ricevere la richiesta di passaggio anche se l'app è in background")</f>
        <v>Abilita la posizione in background: per ricevere la richiesta di passaggio anche se l'app è in background</v>
      </c>
      <c r="I233" s="4" t="str">
        <f>IFERROR(__xludf.DUMMYFUNCTION("GOOGLETRANSLATE(B233,""en"",""de"")"),"Hintergrundortung aktivieren – um Ihnen eine Fahrtanfrage zu senden, auch wenn Ihre App im Hintergrund läuft")</f>
        <v>Hintergrundortung aktivieren – um Ihnen eine Fahrtanfrage zu senden, auch wenn Ihre App im Hintergrund läuft</v>
      </c>
      <c r="J233" s="4" t="str">
        <f>IFERROR(__xludf.DUMMYFUNCTION("GOOGLETRANSLATE(B233,""en"",""ko"")"),"백그라운드 위치 활성화 - 앱이 백그라운드에 있는 경우에도 승차 요청을 제공합니다.")</f>
        <v>백그라운드 위치 활성화 - 앱이 백그라운드에 있는 경우에도 승차 요청을 제공합니다.</v>
      </c>
      <c r="K233" s="4" t="str">
        <f>IFERROR(__xludf.DUMMYFUNCTION("GOOGLETRANSLATE(B233,""en"",""zh"")"),"启用后台定位 - 即使您的应用在后台运行，也能为您提供乘车请求")</f>
        <v>启用后台定位 - 即使您的应用在后台运行，也能为您提供乘车请求</v>
      </c>
      <c r="L233" s="4" t="str">
        <f>IFERROR(__xludf.DUMMYFUNCTION("GOOGLETRANSLATE(B233,""en"",""es"")"),"Habilitar ubicación en segundo plano: para recibir solicitudes de viaje incluso si su aplicación está en segundo plano")</f>
        <v>Habilitar ubicación en segundo plano: para recibir solicitudes de viaje incluso si su aplicación está en segundo plano</v>
      </c>
      <c r="M233" s="4" t="str">
        <f>IFERROR(__xludf.DUMMYFUNCTION("GOOGLETRANSLATE(B233,""en"",""iw"")"),"אפשר מיקום ברקע - כדי לתת לך בקשת נסיעה גם אם האפליקציה שלך ברקע")</f>
        <v>אפשר מיקום ברקע - כדי לתת לך בקשת נסיעה גם אם האפליקציה שלך ברקע</v>
      </c>
      <c r="N233" s="4" t="str">
        <f>IFERROR(__xludf.DUMMYFUNCTION("GOOGLETRANSLATE(B233,""en"",""bn"")"),"ব্যাকগ্রাউন্ড লোকেশন সক্ষম করুন - আপনার অ্যাপ ব্যাকগ্রাউন্ডে থাকলেও আপনাকে রাইডের অনুরোধ জানাতে")</f>
        <v>ব্যাকগ্রাউন্ড লোকেশন সক্ষম করুন - আপনার অ্যাপ ব্যাকগ্রাউন্ডে থাকলেও আপনাকে রাইডের অনুরোধ জানাতে</v>
      </c>
      <c r="O233" s="4" t="str">
        <f>IFERROR(__xludf.DUMMYFUNCTION("GOOGLETRANSLATE(B233,""en"",""pt"")"),"Habilitar localização em segundo plano - para enviar solicitações de viagem mesmo se o aplicativo estiver em segundo plano")</f>
        <v>Habilitar localização em segundo plano - para enviar solicitações de viagem mesmo se o aplicativo estiver em segundo plano</v>
      </c>
    </row>
    <row r="234">
      <c r="A234" s="7" t="s">
        <v>678</v>
      </c>
      <c r="B234" s="9" t="s">
        <v>678</v>
      </c>
      <c r="C234" s="4" t="str">
        <f>IFERROR(__xludf.DUMMYFUNCTION("GOOGLETRANSLATE(B234,""en"",""hi"")"),"यात्रा के लिए व्यवस्थापक आयोग")</f>
        <v>यात्रा के लिए व्यवस्थापक आयोग</v>
      </c>
      <c r="D234" s="6" t="s">
        <v>679</v>
      </c>
      <c r="E234" s="4" t="str">
        <f>IFERROR(__xludf.DUMMYFUNCTION("GOOGLETRANSLATE(B234,""en"",""fr"")"),"Commission administrative pour le voyage")</f>
        <v>Commission administrative pour le voyage</v>
      </c>
      <c r="F234" s="4" t="str">
        <f>IFERROR(__xludf.DUMMYFUNCTION("GOOGLETRANSLATE(B234,""en"",""tr"")"),"Gezi Yönetim Komisyonu")</f>
        <v>Gezi Yönetim Komisyonu</v>
      </c>
      <c r="G234" s="4" t="str">
        <f>IFERROR(__xludf.DUMMYFUNCTION("GOOGLETRANSLATE(B234,""en"",""ru"")"),"Административная комиссия за поездку")</f>
        <v>Административная комиссия за поездку</v>
      </c>
      <c r="H234" s="4" t="str">
        <f>IFERROR(__xludf.DUMMYFUNCTION("GOOGLETRANSLATE(B234,""en"",""it"")"),"Commissione amministrativa per il viaggio")</f>
        <v>Commissione amministrativa per il viaggio</v>
      </c>
      <c r="I234" s="4" t="str">
        <f>IFERROR(__xludf.DUMMYFUNCTION("GOOGLETRANSLATE(B234,""en"",""de"")"),"Verwaltungsprovision für die Reise")</f>
        <v>Verwaltungsprovision für die Reise</v>
      </c>
      <c r="J234" s="4" t="str">
        <f>IFERROR(__xludf.DUMMYFUNCTION("GOOGLETRANSLATE(B234,""en"",""ko"")"),"여행 관리 수수료")</f>
        <v>여행 관리 수수료</v>
      </c>
      <c r="K234" s="4" t="str">
        <f>IFERROR(__xludf.DUMMYFUNCTION("GOOGLETRANSLATE(B234,""en"",""zh"")"),"旅行管理佣金")</f>
        <v>旅行管理佣金</v>
      </c>
      <c r="L234" s="4" t="str">
        <f>IFERROR(__xludf.DUMMYFUNCTION("GOOGLETRANSLATE(B234,""en"",""es"")"),"Comisión Administrativa para Viaje")</f>
        <v>Comisión Administrativa para Viaje</v>
      </c>
      <c r="M234" s="4" t="str">
        <f>IFERROR(__xludf.DUMMYFUNCTION("GOOGLETRANSLATE(B234,""en"",""iw"")"),"ועדת ניהול לטיול")</f>
        <v>ועדת ניהול לטיול</v>
      </c>
      <c r="N234" s="4" t="str">
        <f>IFERROR(__xludf.DUMMYFUNCTION("GOOGLETRANSLATE(B234,""en"",""bn"")"),"ভ্রমণের জন্য অ্যাডমিন কমিশন")</f>
        <v>ভ্রমণের জন্য অ্যাডমিন কমিশন</v>
      </c>
      <c r="O234" s="4" t="str">
        <f>IFERROR(__xludf.DUMMYFUNCTION("GOOGLETRANSLATE(B234,""en"",""pt"")"),"Comissão Administrativa para Viagem")</f>
        <v>Comissão Administrativa para Viagem</v>
      </c>
    </row>
    <row r="235">
      <c r="A235" s="7" t="s">
        <v>680</v>
      </c>
      <c r="B235" s="9" t="s">
        <v>680</v>
      </c>
      <c r="C235" s="4" t="str">
        <f>IFERROR(__xludf.DUMMYFUNCTION("GOOGLETRANSLATE(B235,""en"",""hi"")"),"यात्रा आयोग")</f>
        <v>यात्रा आयोग</v>
      </c>
      <c r="D235" s="6" t="s">
        <v>681</v>
      </c>
      <c r="E235" s="4" t="str">
        <f>IFERROR(__xludf.DUMMYFUNCTION("GOOGLETRANSLATE(B235,""en"",""fr"")"),"Commission de voyage")</f>
        <v>Commission de voyage</v>
      </c>
      <c r="F235" s="4" t="str">
        <f>IFERROR(__xludf.DUMMYFUNCTION("GOOGLETRANSLATE(B235,""en"",""tr"")"),"Gezi Komisyonu")</f>
        <v>Gezi Komisyonu</v>
      </c>
      <c r="G235" s="4" t="str">
        <f>IFERROR(__xludf.DUMMYFUNCTION("GOOGLETRANSLATE(B235,""en"",""ru"")"),"Комиссия по поездкам")</f>
        <v>Комиссия по поездкам</v>
      </c>
      <c r="H235" s="4" t="str">
        <f>IFERROR(__xludf.DUMMYFUNCTION("GOOGLETRANSLATE(B235,""en"",""it"")"),"Commissione di viaggio")</f>
        <v>Commissione di viaggio</v>
      </c>
      <c r="I235" s="4" t="str">
        <f>IFERROR(__xludf.DUMMYFUNCTION("GOOGLETRANSLATE(B235,""en"",""de"")"),"Reisekommission")</f>
        <v>Reisekommission</v>
      </c>
      <c r="J235" s="4" t="str">
        <f>IFERROR(__xludf.DUMMYFUNCTION("GOOGLETRANSLATE(B235,""en"",""ko"")"),"여행 위원회")</f>
        <v>여행 위원회</v>
      </c>
      <c r="K235" s="4" t="str">
        <f>IFERROR(__xludf.DUMMYFUNCTION("GOOGLETRANSLATE(B235,""en"",""zh"")"),"旅行佣金")</f>
        <v>旅行佣金</v>
      </c>
      <c r="L235" s="4" t="str">
        <f>IFERROR(__xludf.DUMMYFUNCTION("GOOGLETRANSLATE(B235,""en"",""es"")"),"Comisión de viaje")</f>
        <v>Comisión de viaje</v>
      </c>
      <c r="M235" s="4" t="str">
        <f>IFERROR(__xludf.DUMMYFUNCTION("GOOGLETRANSLATE(B235,""en"",""iw"")"),"ועדת טיול")</f>
        <v>ועדת טיול</v>
      </c>
      <c r="N235" s="4" t="str">
        <f>IFERROR(__xludf.DUMMYFUNCTION("GOOGLETRANSLATE(B235,""en"",""bn"")"),"ট্রিপ কমিশন")</f>
        <v>ট্রিপ কমিশন</v>
      </c>
      <c r="O235" s="4" t="str">
        <f>IFERROR(__xludf.DUMMYFUNCTION("GOOGLETRANSLATE(B235,""en"",""pt"")"),"Comissão de Viagem")</f>
        <v>Comissão de Viagem</v>
      </c>
    </row>
    <row r="236">
      <c r="A236" s="7" t="s">
        <v>295</v>
      </c>
      <c r="B236" s="9" t="s">
        <v>295</v>
      </c>
      <c r="C236" s="4" t="str">
        <f>IFERROR(__xludf.DUMMYFUNCTION("GOOGLETRANSLATE(B236,""en"",""hi"")"),"रद्दीकरण शुल्क")</f>
        <v>रद्दीकरण शुल्क</v>
      </c>
      <c r="D236" s="4" t="str">
        <f>IFERROR(__xludf.DUMMYFUNCTION("GOOGLETRANSLATE(B236,""en"",""ar"")"),"رسوم الإلغاء")</f>
        <v>رسوم الإلغاء</v>
      </c>
      <c r="E236" s="4" t="str">
        <f>IFERROR(__xludf.DUMMYFUNCTION("GOOGLETRANSLATE(B236,""en"",""fr"")"),"Frais d'annulation")</f>
        <v>Frais d'annulation</v>
      </c>
      <c r="F236" s="4" t="str">
        <f>IFERROR(__xludf.DUMMYFUNCTION("GOOGLETRANSLATE(B236,""en"",""tr"")"),"İptal Ücreti")</f>
        <v>İptal Ücreti</v>
      </c>
      <c r="G236" s="4" t="str">
        <f>IFERROR(__xludf.DUMMYFUNCTION("GOOGLETRANSLATE(B236,""en"",""ru"")"),"Плата за отмену")</f>
        <v>Плата за отмену</v>
      </c>
      <c r="H236" s="4" t="str">
        <f>IFERROR(__xludf.DUMMYFUNCTION("GOOGLETRANSLATE(B236,""en"",""it"")"),"Tassa di cancellazione")</f>
        <v>Tassa di cancellazione</v>
      </c>
      <c r="I236" s="4" t="str">
        <f>IFERROR(__xludf.DUMMYFUNCTION("GOOGLETRANSLATE(B236,""en"",""de"")"),"Stornogebühr")</f>
        <v>Stornogebühr</v>
      </c>
      <c r="J236" s="4" t="str">
        <f>IFERROR(__xludf.DUMMYFUNCTION("GOOGLETRANSLATE(B236,""en"",""ko"")"),"취소 수수료")</f>
        <v>취소 수수료</v>
      </c>
      <c r="K236" s="4" t="str">
        <f>IFERROR(__xludf.DUMMYFUNCTION("GOOGLETRANSLATE(B236,""en"",""zh"")"),"取消费")</f>
        <v>取消费</v>
      </c>
      <c r="L236" s="4" t="str">
        <f>IFERROR(__xludf.DUMMYFUNCTION("GOOGLETRANSLATE(B236,""en"",""es"")"),"Tarifa de cancelación")</f>
        <v>Tarifa de cancelación</v>
      </c>
      <c r="M236" s="4" t="str">
        <f>IFERROR(__xludf.DUMMYFUNCTION("GOOGLETRANSLATE(B236,""en"",""iw"")"),"דמי ביטול")</f>
        <v>דמי ביטול</v>
      </c>
      <c r="N236" s="4" t="str">
        <f>IFERROR(__xludf.DUMMYFUNCTION("GOOGLETRANSLATE(B236,""en"",""bn"")"),"বাতিলকরণ ফি")</f>
        <v>বাতিলকরণ ফি</v>
      </c>
      <c r="O236" s="4" t="str">
        <f>IFERROR(__xludf.DUMMYFUNCTION("GOOGLETRANSLATE(B236,""en"",""pt"")"),"Taxa de cancelamento")</f>
        <v>Taxa de cancelamento</v>
      </c>
    </row>
    <row r="237">
      <c r="A237" s="7" t="s">
        <v>682</v>
      </c>
      <c r="B237" s="9" t="s">
        <v>682</v>
      </c>
      <c r="C237" s="4" t="str">
        <f>IFERROR(__xludf.DUMMYFUNCTION("GOOGLETRANSLATE(B237,""en"",""hi"")"),"व्यवस्थापक द्वारा जमा किया गया धन")</f>
        <v>व्यवस्थापक द्वारा जमा किया गया धन</v>
      </c>
      <c r="D237" s="6" t="s">
        <v>683</v>
      </c>
      <c r="E237" s="4" t="str">
        <f>IFERROR(__xludf.DUMMYFUNCTION("GOOGLETRANSLATE(B237,""en"",""fr"")"),"Argent déposé par l'administrateur")</f>
        <v>Argent déposé par l'administrateur</v>
      </c>
      <c r="F237" s="4" t="str">
        <f>IFERROR(__xludf.DUMMYFUNCTION("GOOGLETRANSLATE(B237,""en"",""tr"")"),"Yönetici Tarafından Yatırılan Para")</f>
        <v>Yönetici Tarafından Yatırılan Para</v>
      </c>
      <c r="G237" s="4" t="str">
        <f>IFERROR(__xludf.DUMMYFUNCTION("GOOGLETRANSLATE(B237,""en"",""ru"")"),"Деньги внесены администратором")</f>
        <v>Деньги внесены администратором</v>
      </c>
      <c r="H237" s="4" t="str">
        <f>IFERROR(__xludf.DUMMYFUNCTION("GOOGLETRANSLATE(B237,""en"",""it"")"),"Denaro depositato dall'amministratore")</f>
        <v>Denaro depositato dall'amministratore</v>
      </c>
      <c r="I237" s="4" t="str">
        <f>IFERROR(__xludf.DUMMYFUNCTION("GOOGLETRANSLATE(B237,""en"",""de"")"),"Vom Administrator eingezahltes Geld")</f>
        <v>Vom Administrator eingezahltes Geld</v>
      </c>
      <c r="J237" s="4" t="str">
        <f>IFERROR(__xludf.DUMMYFUNCTION("GOOGLETRANSLATE(B237,""en"",""ko"")"),"관리자가 입금한 돈")</f>
        <v>관리자가 입금한 돈</v>
      </c>
      <c r="K237" s="4" t="str">
        <f>IFERROR(__xludf.DUMMYFUNCTION("GOOGLETRANSLATE(B237,""en"",""zh"")"),"管理员存入的钱")</f>
        <v>管理员存入的钱</v>
      </c>
      <c r="L237" s="4" t="str">
        <f>IFERROR(__xludf.DUMMYFUNCTION("GOOGLETRANSLATE(B237,""en"",""es"")"),"Dinero depositado por el administrador")</f>
        <v>Dinero depositado por el administrador</v>
      </c>
      <c r="M237" s="4" t="str">
        <f>IFERROR(__xludf.DUMMYFUNCTION("GOOGLETRANSLATE(B237,""en"",""iw"")"),"כסף שהופקד על ידי מנהל")</f>
        <v>כסף שהופקד על ידי מנהל</v>
      </c>
      <c r="N237" s="4" t="str">
        <f>IFERROR(__xludf.DUMMYFUNCTION("GOOGLETRANSLATE(B237,""en"",""bn"")"),"অ্যাডমিন দ্বারা জমা করা টাকা")</f>
        <v>অ্যাডমিন দ্বারা জমা করা টাকা</v>
      </c>
      <c r="O237" s="4" t="str">
        <f>IFERROR(__xludf.DUMMYFUNCTION("GOOGLETRANSLATE(B237,""en"",""pt"")"),"Dinheiro depositado pelo administrador")</f>
        <v>Dinheiro depositado pelo administrador</v>
      </c>
    </row>
    <row r="238">
      <c r="A238" s="7" t="s">
        <v>684</v>
      </c>
      <c r="B238" s="9" t="s">
        <v>684</v>
      </c>
      <c r="C238" s="4" t="str">
        <f>IFERROR(__xludf.DUMMYFUNCTION("GOOGLETRANSLATE(B238,""en"",""hi"")"),"रेफरल कमीशन")</f>
        <v>रेफरल कमीशन</v>
      </c>
      <c r="D238" s="6" t="s">
        <v>685</v>
      </c>
      <c r="E238" s="4" t="str">
        <f>IFERROR(__xludf.DUMMYFUNCTION("GOOGLETRANSLATE(B238,""en"",""fr"")"),"Commission de référence")</f>
        <v>Commission de référence</v>
      </c>
      <c r="F238" s="4" t="str">
        <f>IFERROR(__xludf.DUMMYFUNCTION("GOOGLETRANSLATE(B238,""en"",""tr"")"),"Sevk Komisyonu")</f>
        <v>Sevk Komisyonu</v>
      </c>
      <c r="G238" s="4" t="str">
        <f>IFERROR(__xludf.DUMMYFUNCTION("GOOGLETRANSLATE(B238,""en"",""ru"")"),"Комиссия по реферированию")</f>
        <v>Комиссия по реферированию</v>
      </c>
      <c r="H238" s="4" t="str">
        <f>IFERROR(__xludf.DUMMYFUNCTION("GOOGLETRANSLATE(B238,""en"",""it"")"),"Commissione di riferimento")</f>
        <v>Commissione di riferimento</v>
      </c>
      <c r="I238" s="4" t="str">
        <f>IFERROR(__xludf.DUMMYFUNCTION("GOOGLETRANSLATE(B238,""en"",""de"")"),"Empfehlungskommission")</f>
        <v>Empfehlungskommission</v>
      </c>
      <c r="J238" s="4" t="str">
        <f>IFERROR(__xludf.DUMMYFUNCTION("GOOGLETRANSLATE(B238,""en"",""ko"")"),"추천 수수료")</f>
        <v>추천 수수료</v>
      </c>
      <c r="K238" s="4" t="str">
        <f>IFERROR(__xludf.DUMMYFUNCTION("GOOGLETRANSLATE(B238,""en"",""zh"")"),"推荐佣金")</f>
        <v>推荐佣金</v>
      </c>
      <c r="L238" s="4" t="str">
        <f>IFERROR(__xludf.DUMMYFUNCTION("GOOGLETRANSLATE(B238,""en"",""es"")"),"Comisión de referencia")</f>
        <v>Comisión de referencia</v>
      </c>
      <c r="M238" s="4" t="str">
        <f>IFERROR(__xludf.DUMMYFUNCTION("GOOGLETRANSLATE(B238,""en"",""iw"")"),"ועדת הפניה")</f>
        <v>ועדת הפניה</v>
      </c>
      <c r="N238" s="4" t="str">
        <f>IFERROR(__xludf.DUMMYFUNCTION("GOOGLETRANSLATE(B238,""en"",""bn"")"),"রেফারেল কমিশন")</f>
        <v>রেফারেল কমিশন</v>
      </c>
      <c r="O238" s="4" t="str">
        <f>IFERROR(__xludf.DUMMYFUNCTION("GOOGLETRANSLATE(B238,""en"",""pt"")"),"Comissão de Referência")</f>
        <v>Comissão de Referência</v>
      </c>
    </row>
    <row r="239">
      <c r="A239" s="7" t="s">
        <v>686</v>
      </c>
      <c r="B239" s="9" t="s">
        <v>686</v>
      </c>
      <c r="C239" s="4" t="str">
        <f>IFERROR(__xludf.DUMMYFUNCTION("GOOGLETRANSLATE(B239,""en"",""hi"")"),"यात्रा अनुरोध के लिए खर्च")</f>
        <v>यात्रा अनुरोध के लिए खर्च</v>
      </c>
      <c r="D239" s="4" t="str">
        <f>IFERROR(__xludf.DUMMYFUNCTION("GOOGLETRANSLATE(B239,""en"",""ar"")"),"تم إنفاقه على طلب الرحلة")</f>
        <v>تم إنفاقه على طلب الرحلة</v>
      </c>
      <c r="E239" s="4" t="str">
        <f>IFERROR(__xludf.DUMMYFUNCTION("GOOGLETRANSLATE(B239,""en"",""fr"")"),"Dépensé pour la demande de voyage")</f>
        <v>Dépensé pour la demande de voyage</v>
      </c>
      <c r="F239" s="4" t="str">
        <f>IFERROR(__xludf.DUMMYFUNCTION("GOOGLETRANSLATE(B239,""en"",""tr"")"),"Gezi Talebi İçin Harcanan")</f>
        <v>Gezi Talebi İçin Harcanan</v>
      </c>
      <c r="G239" s="4" t="str">
        <f>IFERROR(__xludf.DUMMYFUNCTION("GOOGLETRANSLATE(B239,""en"",""ru"")"),"Потрачено на запрос поездки")</f>
        <v>Потрачено на запрос поездки</v>
      </c>
      <c r="H239" s="4" t="str">
        <f>IFERROR(__xludf.DUMMYFUNCTION("GOOGLETRANSLATE(B239,""en"",""it"")"),"Speso per richiesta di viaggio")</f>
        <v>Speso per richiesta di viaggio</v>
      </c>
      <c r="I239" s="4" t="str">
        <f>IFERROR(__xludf.DUMMYFUNCTION("GOOGLETRANSLATE(B239,""en"",""de"")"),"Für Reiseanfrage ausgegeben")</f>
        <v>Für Reiseanfrage ausgegeben</v>
      </c>
      <c r="J239" s="4" t="str">
        <f>IFERROR(__xludf.DUMMYFUNCTION("GOOGLETRANSLATE(B239,""en"",""ko"")"),"여행 요청에 사용됨")</f>
        <v>여행 요청에 사용됨</v>
      </c>
      <c r="K239" s="4" t="str">
        <f>IFERROR(__xludf.DUMMYFUNCTION("GOOGLETRANSLATE(B239,""en"",""zh"")"),"旅行花费请求")</f>
        <v>旅行花费请求</v>
      </c>
      <c r="L239" s="4" t="str">
        <f>IFERROR(__xludf.DUMMYFUNCTION("GOOGLETRANSLATE(B239,""en"",""es"")"),"Gastado para solicitud de viaje")</f>
        <v>Gastado para solicitud de viaje</v>
      </c>
      <c r="M239" s="4" t="str">
        <f>IFERROR(__xludf.DUMMYFUNCTION("GOOGLETRANSLATE(B239,""en"",""iw"")"),"הוצא עבור בקשת טיול")</f>
        <v>הוצא עבור בקשת טיול</v>
      </c>
      <c r="N239" s="4" t="str">
        <f>IFERROR(__xludf.DUMMYFUNCTION("GOOGLETRANSLATE(B239,""en"",""bn"")"),"ভ্রমণের অনুরোধের জন্য ব্যয় করা হয়েছে")</f>
        <v>ভ্রমণের অনুরোধের জন্য ব্যয় করা হয়েছে</v>
      </c>
      <c r="O239" s="4" t="str">
        <f>IFERROR(__xludf.DUMMYFUNCTION("GOOGLETRANSLATE(B239,""en"",""pt"")"),"Gasto para solicitação de viagem")</f>
        <v>Gasto para solicitação de viagem</v>
      </c>
    </row>
    <row r="240">
      <c r="A240" s="7" t="s">
        <v>687</v>
      </c>
      <c r="B240" s="9" t="s">
        <v>687</v>
      </c>
      <c r="C240" s="4" t="str">
        <f>IFERROR(__xludf.DUMMYFUNCTION("GOOGLETRANSLATE(B240,""en"",""hi"")"),"वॉलेट से निकाला गया")</f>
        <v>वॉलेट से निकाला गया</v>
      </c>
      <c r="D240" s="6" t="s">
        <v>688</v>
      </c>
      <c r="E240" s="4" t="str">
        <f>IFERROR(__xludf.DUMMYFUNCTION("GOOGLETRANSLATE(B240,""en"",""fr"")"),"Retiré du portefeuille")</f>
        <v>Retiré du portefeuille</v>
      </c>
      <c r="F240" s="4" t="str">
        <f>IFERROR(__xludf.DUMMYFUNCTION("GOOGLETRANSLATE(B240,""en"",""tr"")"),"Cüzdandan Çekildi")</f>
        <v>Cüzdandan Çekildi</v>
      </c>
      <c r="G240" s="4" t="str">
        <f>IFERROR(__xludf.DUMMYFUNCTION("GOOGLETRANSLATE(B240,""en"",""ru"")"),"Снятие с кошелька")</f>
        <v>Снятие с кошелька</v>
      </c>
      <c r="H240" s="4" t="str">
        <f>IFERROR(__xludf.DUMMYFUNCTION("GOOGLETRANSLATE(B240,""en"",""it"")"),"Prelevato dal portafoglio")</f>
        <v>Prelevato dal portafoglio</v>
      </c>
      <c r="I240" s="4" t="str">
        <f>IFERROR(__xludf.DUMMYFUNCTION("GOOGLETRANSLATE(B240,""en"",""de"")"),"Aus der Brieftasche abgehoben")</f>
        <v>Aus der Brieftasche abgehoben</v>
      </c>
      <c r="J240" s="4" t="str">
        <f>IFERROR(__xludf.DUMMYFUNCTION("GOOGLETRANSLATE(B240,""en"",""ko"")"),"지갑에서 인출됨")</f>
        <v>지갑에서 인출됨</v>
      </c>
      <c r="K240" s="4" t="str">
        <f>IFERROR(__xludf.DUMMYFUNCTION("GOOGLETRANSLATE(B240,""en"",""zh"")"),"从钱包中提取")</f>
        <v>从钱包中提取</v>
      </c>
      <c r="L240" s="4" t="str">
        <f>IFERROR(__xludf.DUMMYFUNCTION("GOOGLETRANSLATE(B240,""en"",""es"")"),"Retirado de la billetera")</f>
        <v>Retirado de la billetera</v>
      </c>
      <c r="M240" s="4" t="str">
        <f>IFERROR(__xludf.DUMMYFUNCTION("GOOGLETRANSLATE(B240,""en"",""iw"")"),"נמשך מהארנק")</f>
        <v>נמשך מהארנק</v>
      </c>
      <c r="N240" s="4" t="str">
        <f>IFERROR(__xludf.DUMMYFUNCTION("GOOGLETRANSLATE(B240,""en"",""bn"")"),"ওয়ালেট থেকে তোলা")</f>
        <v>ওয়ালেট থেকে তোলা</v>
      </c>
      <c r="O240" s="4" t="str">
        <f>IFERROR(__xludf.DUMMYFUNCTION("GOOGLETRANSLATE(B240,""en"",""pt"")"),"Retirado da carteira")</f>
        <v>Retirado da carteira</v>
      </c>
    </row>
    <row r="241">
      <c r="A241" s="16" t="s">
        <v>689</v>
      </c>
      <c r="B241" s="9" t="s">
        <v>690</v>
      </c>
      <c r="C241" s="4" t="str">
        <f>IFERROR(__xludf.DUMMYFUNCTION("GOOGLETRANSLATE(B241,""en"",""hi"")"),"उपयोगकर्ता ने अनुरोध रद्द कर दिया")</f>
        <v>उपयोगकर्ता ने अनुरोध रद्द कर दिया</v>
      </c>
      <c r="D241" s="6" t="s">
        <v>691</v>
      </c>
      <c r="E241" s="4" t="str">
        <f>IFERROR(__xludf.DUMMYFUNCTION("GOOGLETRANSLATE(B241,""en"",""fr"")"),"L'utilisateur a annulé la demande")</f>
        <v>L'utilisateur a annulé la demande</v>
      </c>
      <c r="F241" s="4" t="str">
        <f>IFERROR(__xludf.DUMMYFUNCTION("GOOGLETRANSLATE(B241,""en"",""tr"")"),"Kullanıcı İsteği İptal Etti")</f>
        <v>Kullanıcı İsteği İptal Etti</v>
      </c>
      <c r="G241" s="4" t="str">
        <f>IFERROR(__xludf.DUMMYFUNCTION("GOOGLETRANSLATE(B241,""en"",""ru"")"),"Пользователь отменил запрос")</f>
        <v>Пользователь отменил запрос</v>
      </c>
      <c r="H241" s="4" t="str">
        <f>IFERROR(__xludf.DUMMYFUNCTION("GOOGLETRANSLATE(B241,""en"",""it"")"),"L'utente ha annullato la richiesta")</f>
        <v>L'utente ha annullato la richiesta</v>
      </c>
      <c r="I241" s="4" t="str">
        <f>IFERROR(__xludf.DUMMYFUNCTION("GOOGLETRANSLATE(B241,""en"",""de"")"),"Der Benutzer hat die Anfrage abgebrochen")</f>
        <v>Der Benutzer hat die Anfrage abgebrochen</v>
      </c>
      <c r="J241" s="4" t="str">
        <f>IFERROR(__xludf.DUMMYFUNCTION("GOOGLETRANSLATE(B241,""en"",""ko"")"),"사용자가 요청을 취소했습니다.")</f>
        <v>사용자가 요청을 취소했습니다.</v>
      </c>
      <c r="K241" s="4" t="str">
        <f>IFERROR(__xludf.DUMMYFUNCTION("GOOGLETRANSLATE(B241,""en"",""zh"")"),"用户取消了请求")</f>
        <v>用户取消了请求</v>
      </c>
      <c r="L241" s="4" t="str">
        <f>IFERROR(__xludf.DUMMYFUNCTION("GOOGLETRANSLATE(B241,""en"",""es"")"),"El usuario canceló la solicitud")</f>
        <v>El usuario canceló la solicitud</v>
      </c>
      <c r="M241" s="4" t="str">
        <f>IFERROR(__xludf.DUMMYFUNCTION("GOOGLETRANSLATE(B241,""en"",""iw"")"),"המשתמש ביטל את הבקשה")</f>
        <v>המשתמש ביטל את הבקשה</v>
      </c>
      <c r="N241" s="4" t="str">
        <f>IFERROR(__xludf.DUMMYFUNCTION("GOOGLETRANSLATE(B241,""en"",""bn"")"),"ব্যবহারকারী অনুরোধটি বাতিল করেছে৷")</f>
        <v>ব্যবহারকারী অনুরোধটি বাতিল করেছে৷</v>
      </c>
      <c r="O241" s="4" t="str">
        <f>IFERROR(__xludf.DUMMYFUNCTION("GOOGLETRANSLATE(B241,""en"",""pt"")"),"O usuário cancelou a solicitação")</f>
        <v>O usuário cancelou a solicitação</v>
      </c>
    </row>
    <row r="242">
      <c r="A242" s="7" t="s">
        <v>692</v>
      </c>
      <c r="B242" s="9" t="s">
        <v>693</v>
      </c>
      <c r="C242" s="4" t="str">
        <f>IFERROR(__xludf.DUMMYFUNCTION("GOOGLETRANSLATE(B242,""en"",""hi"")"),"आपका वॉलेट बैलेंस कम है, कृपया सेवा जारी रखने के लिए कुछ पैसे जोड़ें")</f>
        <v>आपका वॉलेट बैलेंस कम है, कृपया सेवा जारी रखने के लिए कुछ पैसे जोड़ें</v>
      </c>
      <c r="D242" s="6" t="s">
        <v>694</v>
      </c>
      <c r="E242" s="4" t="str">
        <f>IFERROR(__xludf.DUMMYFUNCTION("GOOGLETRANSLATE(B242,""en"",""fr"")"),"Le solde de votre portefeuille est faible, veuillez ajouter de l'argent pour continuer le service")</f>
        <v>Le solde de votre portefeuille est faible, veuillez ajouter de l'argent pour continuer le service</v>
      </c>
      <c r="F242" s="4" t="str">
        <f>IFERROR(__xludf.DUMMYFUNCTION("GOOGLETRANSLATE(B242,""en"",""tr"")"),"Cüzdan bakiyeniz düşük, lütfen hizmete devam etmek için biraz para ekleyin")</f>
        <v>Cüzdan bakiyeniz düşük, lütfen hizmete devam etmek için biraz para ekleyin</v>
      </c>
      <c r="G242" s="4" t="str">
        <f>IFERROR(__xludf.DUMMYFUNCTION("GOOGLETRANSLATE(B242,""en"",""ru"")"),"Баланс вашего кошелька низкий. Пожалуйста, добавьте немного денег, чтобы продолжить обслуживание.")</f>
        <v>Баланс вашего кошелька низкий. Пожалуйста, добавьте немного денег, чтобы продолжить обслуживание.</v>
      </c>
      <c r="H242" s="4" t="str">
        <f>IFERROR(__xludf.DUMMYFUNCTION("GOOGLETRANSLATE(B242,""en"",""it"")"),"Il saldo del tuo portafoglio è basso, aggiungi del denaro per continuare il servizio")</f>
        <v>Il saldo del tuo portafoglio è basso, aggiungi del denaro per continuare il servizio</v>
      </c>
      <c r="I242" s="4" t="str">
        <f>IFERROR(__xludf.DUMMYFUNCTION("GOOGLETRANSLATE(B242,""en"",""de"")"),"Ihr Wallet-Guthaben ist niedrig. Bitte fügen Sie etwas Geld hinzu, um den Service fortzusetzen")</f>
        <v>Ihr Wallet-Guthaben ist niedrig. Bitte fügen Sie etwas Geld hinzu, um den Service fortzusetzen</v>
      </c>
      <c r="J242" s="4" t="str">
        <f>IFERROR(__xludf.DUMMYFUNCTION("GOOGLETRANSLATE(B242,""en"",""ko"")"),"지갑 잔액이 부족합니다. 서비스를 계속하려면 돈을 추가하세요.")</f>
        <v>지갑 잔액이 부족합니다. 서비스를 계속하려면 돈을 추가하세요.</v>
      </c>
      <c r="K242" s="4" t="str">
        <f>IFERROR(__xludf.DUMMYFUNCTION("GOOGLETRANSLATE(B242,""en"",""zh"")"),"您的钱包余额不足，请充值以继续使用服务")</f>
        <v>您的钱包余额不足，请充值以继续使用服务</v>
      </c>
      <c r="L242" s="4" t="str">
        <f>IFERROR(__xludf.DUMMYFUNCTION("GOOGLETRANSLATE(B242,""en"",""es"")"),"El saldo de su billetera es bajo, agregue dinero para continuar con el servicio")</f>
        <v>El saldo de su billetera es bajo, agregue dinero para continuar con el servicio</v>
      </c>
      <c r="M242" s="4" t="str">
        <f>IFERROR(__xludf.DUMMYFUNCTION("GOOGLETRANSLATE(B242,""en"",""iw"")"),"יתרת הארנק שלך נמוכה, אנא הוסף קצת כסף כדי להמשיך בשירות")</f>
        <v>יתרת הארנק שלך נמוכה, אנא הוסף קצת כסף כדי להמשיך בשירות</v>
      </c>
      <c r="N242" s="4" t="str">
        <f>IFERROR(__xludf.DUMMYFUNCTION("GOOGLETRANSLATE(B242,""en"",""bn"")"),"আপনার ওয়ালেট ব্যালেন্স কম, পরিষেবা চালিয়ে যেতে কিছু টাকা যোগ করুন")</f>
        <v>আপনার ওয়ালেট ব্যালেন্স কম, পরিষেবা চালিয়ে যেতে কিছু টাকা যোগ করুন</v>
      </c>
      <c r="O242" s="4" t="str">
        <f>IFERROR(__xludf.DUMMYFUNCTION("GOOGLETRANSLATE(B242,""en"",""pt"")"),"O saldo da sua carteira está baixo, adicione algum dinheiro para continuar o serviço")</f>
        <v>O saldo da sua carteira está baixo, adicione algum dinheiro para continuar o serviço</v>
      </c>
    </row>
    <row r="243">
      <c r="A243" s="7" t="s">
        <v>695</v>
      </c>
      <c r="B243" s="9" t="s">
        <v>696</v>
      </c>
      <c r="C243" s="4" t="str">
        <f>IFERROR(__xludf.DUMMYFUNCTION("GOOGLETRANSLATE(B243,""en"",""hi"")"),"कृपया सही OTP दर्ज करें या पुनः भेजें")</f>
        <v>कृपया सही OTP दर्ज करें या पुनः भेजें</v>
      </c>
      <c r="D243" s="6" t="s">
        <v>697</v>
      </c>
      <c r="E243" s="4" t="str">
        <f>IFERROR(__xludf.DUMMYFUNCTION("GOOGLETRANSLATE(B243,""en"",""fr"")"),"Veuillez saisir un OTP correct ou renvoyer")</f>
        <v>Veuillez saisir un OTP correct ou renvoyer</v>
      </c>
      <c r="F243" s="4" t="str">
        <f>IFERROR(__xludf.DUMMYFUNCTION("GOOGLETRANSLATE(B243,""en"",""tr"")"),"Lütfen doğru Otp'yi girin veya yeniden gönderin")</f>
        <v>Lütfen doğru Otp'yi girin veya yeniden gönderin</v>
      </c>
      <c r="G243" s="4" t="str">
        <f>IFERROR(__xludf.DUMMYFUNCTION("GOOGLETRANSLATE(B243,""en"",""ru"")"),"Введите правильный одноразовый пароль или отправьте повторно.")</f>
        <v>Введите правильный одноразовый пароль или отправьте повторно.</v>
      </c>
      <c r="H243" s="4" t="str">
        <f>IFERROR(__xludf.DUMMYFUNCTION("GOOGLETRANSLATE(B243,""en"",""it"")"),"Inserisci l'OTP corretto o invialo nuovamente")</f>
        <v>Inserisci l'OTP corretto o invialo nuovamente</v>
      </c>
      <c r="I243" s="4" t="str">
        <f>IFERROR(__xludf.DUMMYFUNCTION("GOOGLETRANSLATE(B243,""en"",""de"")"),"Bitte geben Sie das richtige OTP ein oder senden Sie es erneut")</f>
        <v>Bitte geben Sie das richtige OTP ein oder senden Sie es erneut</v>
      </c>
      <c r="J243" s="4" t="str">
        <f>IFERROR(__xludf.DUMMYFUNCTION("GOOGLETRANSLATE(B243,""en"",""ko"")"),"올바른 OTP를 입력하거나 다시 보내주세요.")</f>
        <v>올바른 OTP를 입력하거나 다시 보내주세요.</v>
      </c>
      <c r="K243" s="4" t="str">
        <f>IFERROR(__xludf.DUMMYFUNCTION("GOOGLETRANSLATE(B243,""en"",""zh"")"),"请输入正确的 OTP 或重新发送")</f>
        <v>请输入正确的 OTP 或重新发送</v>
      </c>
      <c r="L243" s="4" t="str">
        <f>IFERROR(__xludf.DUMMYFUNCTION("GOOGLETRANSLATE(B243,""en"",""es"")"),"Por favor ingrese el OTP correcto o reenvíelo")</f>
        <v>Por favor ingrese el OTP correcto o reenvíelo</v>
      </c>
      <c r="M243" s="4" t="str">
        <f>IFERROR(__xludf.DUMMYFUNCTION("GOOGLETRANSLATE(B243,""en"",""iw"")"),"אנא הזן את ה-OTP הנכון או שלח שוב")</f>
        <v>אנא הזן את ה-OTP הנכון או שלח שוב</v>
      </c>
      <c r="N243" s="4" t="str">
        <f>IFERROR(__xludf.DUMMYFUNCTION("GOOGLETRANSLATE(B243,""en"",""bn"")"),"অনুগ্রহ করে সঠিক ওটিপি লিখুন বা আবার পাঠান")</f>
        <v>অনুগ্রহ করে সঠিক ওটিপি লিখুন বা আবার পাঠান</v>
      </c>
      <c r="O243" s="4" t="str">
        <f>IFERROR(__xludf.DUMMYFUNCTION("GOOGLETRANSLATE(B243,""en"",""pt"")"),"Por favor, insira o Otp correto ou reenvie")</f>
        <v>Por favor, insira o Otp correto ou reenvie</v>
      </c>
    </row>
    <row r="244">
      <c r="A244" s="7" t="s">
        <v>698</v>
      </c>
      <c r="B244" s="9" t="s">
        <v>699</v>
      </c>
      <c r="C244" s="4" t="str">
        <f>IFERROR(__xludf.DUMMYFUNCTION("GOOGLETRANSLATE(B244,""en"",""hi"")"),"रेफ़रल कोड कॉपी किया गया")</f>
        <v>रेफ़रल कोड कॉपी किया गया</v>
      </c>
      <c r="D244" s="6" t="s">
        <v>700</v>
      </c>
      <c r="E244" s="4" t="str">
        <f>IFERROR(__xludf.DUMMYFUNCTION("GOOGLETRANSLATE(B244,""en"",""fr"")"),"Code de référence copié")</f>
        <v>Code de référence copié</v>
      </c>
      <c r="F244" s="4" t="str">
        <f>IFERROR(__xludf.DUMMYFUNCTION("GOOGLETRANSLATE(B244,""en"",""tr"")"),"Yönlendirme Kodu Kopyalandı")</f>
        <v>Yönlendirme Kodu Kopyalandı</v>
      </c>
      <c r="G244" s="4" t="str">
        <f>IFERROR(__xludf.DUMMYFUNCTION("GOOGLETRANSLATE(B244,""en"",""ru"")"),"Реферальный код скопирован")</f>
        <v>Реферальный код скопирован</v>
      </c>
      <c r="H244" s="4" t="str">
        <f>IFERROR(__xludf.DUMMYFUNCTION("GOOGLETRANSLATE(B244,""en"",""it"")"),"Codice di riferimento copiato")</f>
        <v>Codice di riferimento copiato</v>
      </c>
      <c r="I244" s="4" t="str">
        <f>IFERROR(__xludf.DUMMYFUNCTION("GOOGLETRANSLATE(B244,""en"",""de"")"),"Empfehlungscode kopiert")</f>
        <v>Empfehlungscode kopiert</v>
      </c>
      <c r="J244" s="4" t="str">
        <f>IFERROR(__xludf.DUMMYFUNCTION("GOOGLETRANSLATE(B244,""en"",""ko"")"),"추천 코드가 복사되었습니다")</f>
        <v>추천 코드가 복사되었습니다</v>
      </c>
      <c r="K244" s="4" t="str">
        <f>IFERROR(__xludf.DUMMYFUNCTION("GOOGLETRANSLATE(B244,""en"",""zh"")"),"已复制推荐代码")</f>
        <v>已复制推荐代码</v>
      </c>
      <c r="L244" s="4" t="str">
        <f>IFERROR(__xludf.DUMMYFUNCTION("GOOGLETRANSLATE(B244,""en"",""es"")"),"Código de referencia copiado")</f>
        <v>Código de referencia copiado</v>
      </c>
      <c r="M244" s="4" t="str">
        <f>IFERROR(__xludf.DUMMYFUNCTION("GOOGLETRANSLATE(B244,""en"",""iw"")"),"קוד הפניה הועתק")</f>
        <v>קוד הפניה הועתק</v>
      </c>
      <c r="N244" s="4" t="str">
        <f>IFERROR(__xludf.DUMMYFUNCTION("GOOGLETRANSLATE(B244,""en"",""bn"")"),"রেফারেল কোড কপি করা হয়েছে")</f>
        <v>রেফারেল কোড কপি করা হয়েছে</v>
      </c>
      <c r="O244" s="4" t="str">
        <f>IFERROR(__xludf.DUMMYFUNCTION("GOOGLETRANSLATE(B244,""en"",""pt"")"),"Código de referência copiado")</f>
        <v>Código de referência copiado</v>
      </c>
    </row>
    <row r="245">
      <c r="A245" s="7" t="s">
        <v>701</v>
      </c>
      <c r="B245" s="9" t="s">
        <v>702</v>
      </c>
      <c r="C245" s="4" t="str">
        <f>IFERROR(__xludf.DUMMYFUNCTION("GOOGLETRANSLATE(B245,""en"",""hi"")"),"स्थान की अनुमति दें")</f>
        <v>स्थान की अनुमति दें</v>
      </c>
      <c r="D245" s="6" t="s">
        <v>703</v>
      </c>
      <c r="E245" s="4" t="str">
        <f>IFERROR(__xludf.DUMMYFUNCTION("GOOGLETRANSLATE(B245,""en"",""fr"")"),"Autoriser la localisation")</f>
        <v>Autoriser la localisation</v>
      </c>
      <c r="F245" s="4" t="str">
        <f>IFERROR(__xludf.DUMMYFUNCTION("GOOGLETRANSLATE(B245,""en"",""tr"")"),"Konuma İzin Ver")</f>
        <v>Konuma İzin Ver</v>
      </c>
      <c r="G245" s="4" t="str">
        <f>IFERROR(__xludf.DUMMYFUNCTION("GOOGLETRANSLATE(B245,""en"",""ru"")"),"Разрешить местоположение")</f>
        <v>Разрешить местоположение</v>
      </c>
      <c r="H245" s="4" t="str">
        <f>IFERROR(__xludf.DUMMYFUNCTION("GOOGLETRANSLATE(B245,""en"",""it"")"),"Consenti posizione")</f>
        <v>Consenti posizione</v>
      </c>
      <c r="I245" s="4" t="str">
        <f>IFERROR(__xludf.DUMMYFUNCTION("GOOGLETRANSLATE(B245,""en"",""de"")"),"Standort zulassen")</f>
        <v>Standort zulassen</v>
      </c>
      <c r="J245" s="4" t="str">
        <f>IFERROR(__xludf.DUMMYFUNCTION("GOOGLETRANSLATE(B245,""en"",""ko"")"),"위치 허용")</f>
        <v>위치 허용</v>
      </c>
      <c r="K245" s="4" t="str">
        <f>IFERROR(__xludf.DUMMYFUNCTION("GOOGLETRANSLATE(B245,""en"",""zh"")"),"允许位置")</f>
        <v>允许位置</v>
      </c>
      <c r="L245" s="4" t="str">
        <f>IFERROR(__xludf.DUMMYFUNCTION("GOOGLETRANSLATE(B245,""en"",""es"")"),"Permitir ubicación")</f>
        <v>Permitir ubicación</v>
      </c>
      <c r="M245" s="4" t="str">
        <f>IFERROR(__xludf.DUMMYFUNCTION("GOOGLETRANSLATE(B245,""en"",""iw"")"),"אפשר מיקום")</f>
        <v>אפשר מיקום</v>
      </c>
      <c r="N245" s="4" t="str">
        <f>IFERROR(__xludf.DUMMYFUNCTION("GOOGLETRANSLATE(B245,""en"",""bn"")"),"অবস্থানের অনুমতি দিন")</f>
        <v>অবস্থানের অনুমতি দিন</v>
      </c>
      <c r="O245" s="4" t="str">
        <f>IFERROR(__xludf.DUMMYFUNCTION("GOOGLETRANSLATE(B245,""en"",""pt"")"),"Permitir localização")</f>
        <v>Permitir localização</v>
      </c>
    </row>
    <row r="246">
      <c r="A246" s="7" t="s">
        <v>704</v>
      </c>
      <c r="B246" s="9" t="s">
        <v>705</v>
      </c>
      <c r="C246" s="4" t="str">
        <f>IFERROR(__xludf.DUMMYFUNCTION("GOOGLETRANSLATE(B246,""en"",""hi"")"),"इस यात्रा के लिए आपके वॉलेट का बैलेंस बहुत कम है")</f>
        <v>इस यात्रा के लिए आपके वॉलेट का बैलेंस बहुत कम है</v>
      </c>
      <c r="D246" s="6" t="s">
        <v>706</v>
      </c>
      <c r="E246" s="4" t="str">
        <f>IFERROR(__xludf.DUMMYFUNCTION("GOOGLETRANSLATE(B246,""en"",""fr"")"),"Le solde de votre portefeuille est trop bas pour effectuer ce trajet")</f>
        <v>Le solde de votre portefeuille est trop bas pour effectuer ce trajet</v>
      </c>
      <c r="F246" s="4" t="str">
        <f>IFERROR(__xludf.DUMMYFUNCTION("GOOGLETRANSLATE(B246,""en"",""tr"")"),"Cüzdan Bakiyeniz bu yolculuğu yapmak için çok düşük")</f>
        <v>Cüzdan Bakiyeniz bu yolculuğu yapmak için çok düşük</v>
      </c>
      <c r="G246" s="4" t="str">
        <f>IFERROR(__xludf.DUMMYFUNCTION("GOOGLETRANSLATE(B246,""en"",""ru"")"),"Баланс вашего кошелька слишком мал, чтобы совершить эту поездку.")</f>
        <v>Баланс вашего кошелька слишком мал, чтобы совершить эту поездку.</v>
      </c>
      <c r="H246" s="4" t="str">
        <f>IFERROR(__xludf.DUMMYFUNCTION("GOOGLETRANSLATE(B246,""en"",""it"")"),"Il saldo del tuo portafoglio è troppo basso per effettuare questa corsa")</f>
        <v>Il saldo del tuo portafoglio è troppo basso per effettuare questa corsa</v>
      </c>
      <c r="I246" s="4" t="str">
        <f>IFERROR(__xludf.DUMMYFUNCTION("GOOGLETRANSLATE(B246,""en"",""de"")"),"Ihr Wallet-Guthaben ist zu niedrig, um diese Fahrt zu machen")</f>
        <v>Ihr Wallet-Guthaben ist zu niedrig, um diese Fahrt zu machen</v>
      </c>
      <c r="J246" s="4" t="str">
        <f>IFERROR(__xludf.DUMMYFUNCTION("GOOGLETRANSLATE(B246,""en"",""ko"")"),"귀하의 지갑 잔액이 너무 적어서 이 서비스를 이용할 수 없습니다.")</f>
        <v>귀하의 지갑 잔액이 너무 적어서 이 서비스를 이용할 수 없습니다.</v>
      </c>
      <c r="K246" s="4" t="str">
        <f>IFERROR(__xludf.DUMMYFUNCTION("GOOGLETRANSLATE(B246,""en"",""zh"")"),"您的钱包余额太低，无法完成此行程")</f>
        <v>您的钱包余额太低，无法完成此行程</v>
      </c>
      <c r="L246" s="4" t="str">
        <f>IFERROR(__xludf.DUMMYFUNCTION("GOOGLETRANSLATE(B246,""en"",""es"")"),"El saldo de tu billetera es demasiado bajo para realizar este viaje")</f>
        <v>El saldo de tu billetera es demasiado bajo para realizar este viaje</v>
      </c>
      <c r="M246" s="4" t="str">
        <f>IFERROR(__xludf.DUMMYFUNCTION("GOOGLETRANSLATE(B246,""en"",""iw"")"),"יתרת הארנק שלך נמוכה מדי בשביל לבצע את הנסיעה הזו")</f>
        <v>יתרת הארנק שלך נמוכה מדי בשביל לבצע את הנסיעה הזו</v>
      </c>
      <c r="N246" s="4" t="str">
        <f>IFERROR(__xludf.DUMMYFUNCTION("GOOGLETRANSLATE(B246,""en"",""bn"")"),"এই রাইডটি করার জন্য আপনার Wallet ব্যালেন্স খুবই কম৷")</f>
        <v>এই রাইডটি করার জন্য আপনার Wallet ব্যালেন্স খুবই কম৷</v>
      </c>
      <c r="O246" s="4" t="str">
        <f>IFERROR(__xludf.DUMMYFUNCTION("GOOGLETRANSLATE(B246,""en"",""pt"")"),"O saldo da sua carteira está muito baixo para fazer esta viagem")</f>
        <v>O saldo da sua carteira está muito baixo para fazer esta viagem</v>
      </c>
    </row>
    <row r="247">
      <c r="A247" s="7" t="s">
        <v>707</v>
      </c>
      <c r="B247" s="3" t="s">
        <v>708</v>
      </c>
      <c r="C247" s="4" t="str">
        <f>IFERROR(__xludf.DUMMYFUNCTION("GOOGLETRANSLATE(B247,""en"",""hi"")"),"आंतरिक सर्वर त्रुटि")</f>
        <v>आंतरिक सर्वर त्रुटि</v>
      </c>
      <c r="D247" s="6" t="s">
        <v>709</v>
      </c>
      <c r="E247" s="4" t="str">
        <f>IFERROR(__xludf.DUMMYFUNCTION("GOOGLETRANSLATE(B247,""en"",""fr"")"),"Erreur interne du serveur")</f>
        <v>Erreur interne du serveur</v>
      </c>
      <c r="F247" s="4" t="str">
        <f>IFERROR(__xludf.DUMMYFUNCTION("GOOGLETRANSLATE(B247,""en"",""tr"")"),"İç Sunucu Hatası")</f>
        <v>İç Sunucu Hatası</v>
      </c>
      <c r="G247" s="4" t="str">
        <f>IFERROR(__xludf.DUMMYFUNCTION("GOOGLETRANSLATE(B247,""en"",""ru"")"),"Внутренняя ошибка сервера")</f>
        <v>Внутренняя ошибка сервера</v>
      </c>
      <c r="H247" s="4" t="str">
        <f>IFERROR(__xludf.DUMMYFUNCTION("GOOGLETRANSLATE(B247,""en"",""it"")"),"Errore interno del server")</f>
        <v>Errore interno del server</v>
      </c>
      <c r="I247" s="4" t="str">
        <f>IFERROR(__xludf.DUMMYFUNCTION("GOOGLETRANSLATE(B247,""en"",""de"")"),"interner Serverfehler")</f>
        <v>interner Serverfehler</v>
      </c>
      <c r="J247" s="4" t="str">
        <f>IFERROR(__xludf.DUMMYFUNCTION("GOOGLETRANSLATE(B247,""en"",""ko"")"),"내부 서버 오류")</f>
        <v>내부 서버 오류</v>
      </c>
      <c r="K247" s="4" t="str">
        <f>IFERROR(__xludf.DUMMYFUNCTION("GOOGLETRANSLATE(B247,""en"",""zh"")"),"内部服务器错误")</f>
        <v>内部服务器错误</v>
      </c>
      <c r="L247" s="4" t="str">
        <f>IFERROR(__xludf.DUMMYFUNCTION("GOOGLETRANSLATE(B247,""en"",""es"")"),"Error Interno del Servidor")</f>
        <v>Error Interno del Servidor</v>
      </c>
      <c r="M247" s="4" t="str">
        <f>IFERROR(__xludf.DUMMYFUNCTION("GOOGLETRANSLATE(B247,""en"",""iw"")"),"שגיאת שרת פנימית")</f>
        <v>שגיאת שרת פנימית</v>
      </c>
      <c r="N247" s="4" t="str">
        <f>IFERROR(__xludf.DUMMYFUNCTION("GOOGLETRANSLATE(B247,""en"",""bn"")"),"অভ্যন্তরীণ সার্ভার ত্রুটি৷")</f>
        <v>অভ্যন্তরীণ সার্ভার ত্রুটি৷</v>
      </c>
      <c r="O247" s="4" t="str">
        <f>IFERROR(__xludf.DUMMYFUNCTION("GOOGLETRANSLATE(B247,""en"",""pt"")"),"Erro do Servidor Interno")</f>
        <v>Erro do Servidor Interno</v>
      </c>
    </row>
    <row r="248">
      <c r="A248" s="7" t="s">
        <v>710</v>
      </c>
      <c r="B248" s="3" t="s">
        <v>711</v>
      </c>
      <c r="C248" s="4" t="str">
        <f>IFERROR(__xludf.DUMMYFUNCTION("GOOGLETRANSLATE(B248,""en"",""hi"")"),"समर्थित वाहन")</f>
        <v>समर्थित वाहन</v>
      </c>
      <c r="D248" s="6" t="s">
        <v>712</v>
      </c>
      <c r="E248" s="4" t="str">
        <f>IFERROR(__xludf.DUMMYFUNCTION("GOOGLETRANSLATE(B248,""en"",""fr"")"),"Véhicules pris en charge")</f>
        <v>Véhicules pris en charge</v>
      </c>
      <c r="F248" s="4" t="str">
        <f>IFERROR(__xludf.DUMMYFUNCTION("GOOGLETRANSLATE(B248,""en"",""tr"")"),"Desteklenen Araçlar")</f>
        <v>Desteklenen Araçlar</v>
      </c>
      <c r="G248" s="4" t="str">
        <f>IFERROR(__xludf.DUMMYFUNCTION("GOOGLETRANSLATE(B248,""en"",""ru"")"),"Поддерживаемые транспортные средства")</f>
        <v>Поддерживаемые транспортные средства</v>
      </c>
      <c r="H248" s="4" t="str">
        <f>IFERROR(__xludf.DUMMYFUNCTION("GOOGLETRANSLATE(B248,""en"",""it"")"),"Veicoli supportati")</f>
        <v>Veicoli supportati</v>
      </c>
      <c r="I248" s="4" t="str">
        <f>IFERROR(__xludf.DUMMYFUNCTION("GOOGLETRANSLATE(B248,""en"",""de"")"),"Unterstützte Fahrzeuge")</f>
        <v>Unterstützte Fahrzeuge</v>
      </c>
      <c r="J248" s="4" t="str">
        <f>IFERROR(__xludf.DUMMYFUNCTION("GOOGLETRANSLATE(B248,""en"",""ko"")"),"지원 차량")</f>
        <v>지원 차량</v>
      </c>
      <c r="K248" s="4" t="str">
        <f>IFERROR(__xludf.DUMMYFUNCTION("GOOGLETRANSLATE(B248,""en"",""zh"")"),"支援车辆")</f>
        <v>支援车辆</v>
      </c>
      <c r="L248" s="4" t="str">
        <f>IFERROR(__xludf.DUMMYFUNCTION("GOOGLETRANSLATE(B248,""en"",""es"")"),"Vehículos compatibles")</f>
        <v>Vehículos compatibles</v>
      </c>
      <c r="M248" s="4" t="str">
        <f>IFERROR(__xludf.DUMMYFUNCTION("GOOGLETRANSLATE(B248,""en"",""iw"")"),"כלי רכב נתמכים")</f>
        <v>כלי רכב נתמכים</v>
      </c>
      <c r="N248" s="4" t="str">
        <f>IFERROR(__xludf.DUMMYFUNCTION("GOOGLETRANSLATE(B248,""en"",""bn"")"),"সমর্থিত যানবাহন")</f>
        <v>সমর্থিত যানবাহন</v>
      </c>
      <c r="O248" s="4" t="str">
        <f>IFERROR(__xludf.DUMMYFUNCTION("GOOGLETRANSLATE(B248,""en"",""pt"")"),"Veículos Suportados")</f>
        <v>Veículos Suportados</v>
      </c>
    </row>
    <row r="249">
      <c r="A249" s="7" t="s">
        <v>713</v>
      </c>
      <c r="B249" s="9" t="s">
        <v>714</v>
      </c>
      <c r="C249" s="4" t="str">
        <f>IFERROR(__xludf.DUMMYFUNCTION("GOOGLETRANSLATE(B249,""en"",""hi"")"),"विवरण")</f>
        <v>विवरण</v>
      </c>
      <c r="D249" s="6" t="s">
        <v>715</v>
      </c>
      <c r="E249" s="4" t="str">
        <f>IFERROR(__xludf.DUMMYFUNCTION("GOOGLETRANSLATE(B249,""en"",""fr"")"),"Description")</f>
        <v>Description</v>
      </c>
      <c r="F249" s="4" t="str">
        <f>IFERROR(__xludf.DUMMYFUNCTION("GOOGLETRANSLATE(B249,""en"",""tr"")"),"Tanım")</f>
        <v>Tanım</v>
      </c>
      <c r="G249" s="4" t="str">
        <f>IFERROR(__xludf.DUMMYFUNCTION("GOOGLETRANSLATE(B249,""en"",""ru"")"),"Описание")</f>
        <v>Описание</v>
      </c>
      <c r="H249" s="4" t="str">
        <f>IFERROR(__xludf.DUMMYFUNCTION("GOOGLETRANSLATE(B249,""en"",""it"")"),"Descrizione")</f>
        <v>Descrizione</v>
      </c>
      <c r="I249" s="4" t="str">
        <f>IFERROR(__xludf.DUMMYFUNCTION("GOOGLETRANSLATE(B249,""en"",""de"")"),"Beschreibung")</f>
        <v>Beschreibung</v>
      </c>
      <c r="J249" s="4" t="str">
        <f>IFERROR(__xludf.DUMMYFUNCTION("GOOGLETRANSLATE(B249,""en"",""ko"")"),"설명")</f>
        <v>설명</v>
      </c>
      <c r="K249" s="4" t="str">
        <f>IFERROR(__xludf.DUMMYFUNCTION("GOOGLETRANSLATE(B249,""en"",""zh"")"),"描述")</f>
        <v>描述</v>
      </c>
      <c r="L249" s="4" t="str">
        <f>IFERROR(__xludf.DUMMYFUNCTION("GOOGLETRANSLATE(B249,""en"",""es"")"),"Descripción")</f>
        <v>Descripción</v>
      </c>
      <c r="M249" s="4" t="str">
        <f>IFERROR(__xludf.DUMMYFUNCTION("GOOGLETRANSLATE(B249,""en"",""iw"")"),"תֵאוּר")</f>
        <v>תֵאוּר</v>
      </c>
      <c r="N249" s="4" t="str">
        <f>IFERROR(__xludf.DUMMYFUNCTION("GOOGLETRANSLATE(B249,""en"",""bn"")"),"বর্ণনা")</f>
        <v>বর্ণনা</v>
      </c>
      <c r="O249" s="4" t="str">
        <f>IFERROR(__xludf.DUMMYFUNCTION("GOOGLETRANSLATE(B249,""en"",""pt"")"),"Descrição")</f>
        <v>Descrição</v>
      </c>
    </row>
    <row r="250">
      <c r="A250" s="16" t="s">
        <v>716</v>
      </c>
      <c r="B250" s="9" t="s">
        <v>717</v>
      </c>
      <c r="C250" s="4" t="str">
        <f>IFERROR(__xludf.DUMMYFUNCTION("GOOGLETRANSLATE(B250,""en"",""hi"")"),"अनुमानित राशि")</f>
        <v>अनुमानित राशि</v>
      </c>
      <c r="D250" s="6" t="s">
        <v>718</v>
      </c>
      <c r="E250" s="4" t="str">
        <f>IFERROR(__xludf.DUMMYFUNCTION("GOOGLETRANSLATE(B250,""en"",""fr"")"),"Montant estimé")</f>
        <v>Montant estimé</v>
      </c>
      <c r="F250" s="4" t="str">
        <f>IFERROR(__xludf.DUMMYFUNCTION("GOOGLETRANSLATE(B250,""en"",""tr"")"),"Tahmini Tutar")</f>
        <v>Tahmini Tutar</v>
      </c>
      <c r="G250" s="4" t="str">
        <f>IFERROR(__xludf.DUMMYFUNCTION("GOOGLETRANSLATE(B250,""en"",""ru"")"),"Предполагаемая сумма")</f>
        <v>Предполагаемая сумма</v>
      </c>
      <c r="H250" s="4" t="str">
        <f>IFERROR(__xludf.DUMMYFUNCTION("GOOGLETRANSLATE(B250,""en"",""it"")"),"Importo stimato")</f>
        <v>Importo stimato</v>
      </c>
      <c r="I250" s="4" t="str">
        <f>IFERROR(__xludf.DUMMYFUNCTION("GOOGLETRANSLATE(B250,""en"",""de"")"),"Geschätzter Betrag")</f>
        <v>Geschätzter Betrag</v>
      </c>
      <c r="J250" s="4" t="str">
        <f>IFERROR(__xludf.DUMMYFUNCTION("GOOGLETRANSLATE(B250,""en"",""ko"")"),"예상 금액")</f>
        <v>예상 금액</v>
      </c>
      <c r="K250" s="4" t="str">
        <f>IFERROR(__xludf.DUMMYFUNCTION("GOOGLETRANSLATE(B250,""en"",""zh"")"),"预估金额")</f>
        <v>预估金额</v>
      </c>
      <c r="L250" s="4" t="str">
        <f>IFERROR(__xludf.DUMMYFUNCTION("GOOGLETRANSLATE(B250,""en"",""es"")"),"Cantidad estimada")</f>
        <v>Cantidad estimada</v>
      </c>
      <c r="M250" s="4" t="str">
        <f>IFERROR(__xludf.DUMMYFUNCTION("GOOGLETRANSLATE(B250,""en"",""iw"")"),"כמות משוערת")</f>
        <v>כמות משוערת</v>
      </c>
      <c r="N250" s="4" t="str">
        <f>IFERROR(__xludf.DUMMYFUNCTION("GOOGLETRANSLATE(B250,""en"",""bn"")"),"আনুমানিক পরিমাণ")</f>
        <v>আনুমানিক পরিমাণ</v>
      </c>
      <c r="O250" s="4" t="str">
        <f>IFERROR(__xludf.DUMMYFUNCTION("GOOGLETRANSLATE(B250,""en"",""pt"")"),"Valor estimado")</f>
        <v>Valor estimado</v>
      </c>
    </row>
    <row r="251">
      <c r="A251" s="7" t="s">
        <v>719</v>
      </c>
      <c r="B251" s="3" t="s">
        <v>720</v>
      </c>
      <c r="C251" s="4" t="str">
        <f>IFERROR(__xludf.DUMMYFUNCTION("GOOGLETRANSLATE(B251,""en"",""hi"")"),"ऐप चलाने के लिए स्थान एक्सेस की आवश्यकता है, कृपया इसे सेटिंग्स में सक्षम करें और पूर्ण टैप करें")</f>
        <v>ऐप चलाने के लिए स्थान एक्सेस की आवश्यकता है, कृपया इसे सेटिंग्स में सक्षम करें और पूर्ण टैप करें</v>
      </c>
      <c r="D251" s="6" t="s">
        <v>721</v>
      </c>
      <c r="E251" s="4" t="str">
        <f>IFERROR(__xludf.DUMMYFUNCTION("GOOGLETRANSLATE(B251,""en"",""fr"")"),"L'accès à la localisation est nécessaire pour exécuter l'application, veuillez l'activer dans les paramètres et appuyez sur Terminé")</f>
        <v>L'accès à la localisation est nécessaire pour exécuter l'application, veuillez l'activer dans les paramètres et appuyez sur Terminé</v>
      </c>
      <c r="F251" s="4" t="str">
        <f>IFERROR(__xludf.DUMMYFUNCTION("GOOGLETRANSLATE(B251,""en"",""tr"")"),"Uygulamayı çalıştırmak için konum erişimine ihtiyaç vardır, lütfen ayarlardan etkinleştirin ve ""bitti""ye dokunun")</f>
        <v>Uygulamayı çalıştırmak için konum erişimine ihtiyaç vardır, lütfen ayarlardan etkinleştirin ve "bitti"ye dokunun</v>
      </c>
      <c r="G251" s="4" t="str">
        <f>IFERROR(__xludf.DUMMYFUNCTION("GOOGLETRANSLATE(B251,""en"",""ru"")"),"Для запуска приложения необходим доступ к местоположению. Включите его в настройках и нажмите «Готово».")</f>
        <v>Для запуска приложения необходим доступ к местоположению. Включите его в настройках и нажмите «Готово».</v>
      </c>
      <c r="H251" s="4" t="str">
        <f>IFERROR(__xludf.DUMMYFUNCTION("GOOGLETRANSLATE(B251,""en"",""it"")"),"Per eseguire l'app è necessario l'accesso alla posizione, abilitalo nelle impostazioni e tocca Fine")</f>
        <v>Per eseguire l'app è necessario l'accesso alla posizione, abilitalo nelle impostazioni e tocca Fine</v>
      </c>
      <c r="I251" s="4" t="str">
        <f>IFERROR(__xludf.DUMMYFUNCTION("GOOGLETRANSLATE(B251,""en"",""de"")"),"Zum Ausführen der App ist Standortzugriff erforderlich. Aktivieren Sie ihn bitte in den Einstellungen und tippen Sie auf „Fertig“.")</f>
        <v>Zum Ausführen der App ist Standortzugriff erforderlich. Aktivieren Sie ihn bitte in den Einstellungen und tippen Sie auf „Fertig“.</v>
      </c>
      <c r="J251" s="4" t="str">
        <f>IFERROR(__xludf.DUMMYFUNCTION("GOOGLETRANSLATE(B251,""en"",""ko"")"),"앱 실행을 위해 위치 접근이 필요합니다. 설정에서 위치 접근을 활성화하고 완료를 탭하세요.")</f>
        <v>앱 실행을 위해 위치 접근이 필요합니다. 설정에서 위치 접근을 활성화하고 완료를 탭하세요.</v>
      </c>
      <c r="K251" s="4" t="str">
        <f>IFERROR(__xludf.DUMMYFUNCTION("GOOGLETRANSLATE(B251,""en"",""zh"")"),"运行应用程序需要位置访问权限，请在设置中启用它并点击完成")</f>
        <v>运行应用程序需要位置访问权限，请在设置中启用它并点击完成</v>
      </c>
      <c r="L251" s="4" t="str">
        <f>IFERROR(__xludf.DUMMYFUNCTION("GOOGLETRANSLATE(B251,""en"",""es"")"),"Se necesita acceso a la ubicación para ejecutar la aplicación, habilítelo en la configuración y toque Listo")</f>
        <v>Se necesita acceso a la ubicación para ejecutar la aplicación, habilítelo en la configuración y toque Listo</v>
      </c>
      <c r="M251" s="4" t="str">
        <f>IFERROR(__xludf.DUMMYFUNCTION("GOOGLETRANSLATE(B251,""en"",""iw"")"),"נדרשת גישת מיקום להפעלת האפליקציה, אנא הפעל אותה בהגדרות והקש על סיום")</f>
        <v>נדרשת גישת מיקום להפעלת האפליקציה, אנא הפעל אותה בהגדרות והקש על סיום</v>
      </c>
      <c r="N251" s="4" t="str">
        <f>IFERROR(__xludf.DUMMYFUNCTION("GOOGLETRANSLATE(B251,""en"",""bn"")"),"অ্যাপটি চালানোর জন্য লোকেশন অ্যাক্সেস প্রয়োজন, অনুগ্রহ করে সেটিংসে এটি সক্ষম করুন এবং সম্পন্ন ট্যাপ করুন")</f>
        <v>অ্যাপটি চালানোর জন্য লোকেশন অ্যাক্সেস প্রয়োজন, অনুগ্রহ করে সেটিংসে এটি সক্ষম করুন এবং সম্পন্ন ট্যাপ করুন</v>
      </c>
      <c r="O251" s="4" t="str">
        <f>IFERROR(__xludf.DUMMYFUNCTION("GOOGLETRANSLATE(B251,""en"",""pt"")"),"O acesso à localização é necessário para executar o aplicativo. Habilite-o nas configurações e toque em Concluído.")</f>
        <v>O acesso à localização é necessário para executar o aplicativo. Habilite-o nas configurações e toque em Concluído.</v>
      </c>
    </row>
    <row r="252">
      <c r="A252" s="7" t="s">
        <v>722</v>
      </c>
      <c r="B252" s="9" t="s">
        <v>723</v>
      </c>
      <c r="C252" s="4" t="str">
        <f>IFERROR(__xludf.DUMMYFUNCTION("GOOGLETRANSLATE(B252,""en"",""hi"")"),"खुली सेटिंग")</f>
        <v>खुली सेटिंग</v>
      </c>
      <c r="D252" s="6" t="s">
        <v>724</v>
      </c>
      <c r="E252" s="4" t="str">
        <f>IFERROR(__xludf.DUMMYFUNCTION("GOOGLETRANSLATE(B252,""en"",""fr"")"),"Ouvrir les paramètres")</f>
        <v>Ouvrir les paramètres</v>
      </c>
      <c r="F252" s="4" t="str">
        <f>IFERROR(__xludf.DUMMYFUNCTION("GOOGLETRANSLATE(B252,""en"",""tr"")"),"Ayarları Aç")</f>
        <v>Ayarları Aç</v>
      </c>
      <c r="G252" s="4" t="str">
        <f>IFERROR(__xludf.DUMMYFUNCTION("GOOGLETRANSLATE(B252,""en"",""ru"")"),"Открыть настройки")</f>
        <v>Открыть настройки</v>
      </c>
      <c r="H252" s="4" t="str">
        <f>IFERROR(__xludf.DUMMYFUNCTION("GOOGLETRANSLATE(B252,""en"",""it"")"),"Apri Impostazioni")</f>
        <v>Apri Impostazioni</v>
      </c>
      <c r="I252" s="4" t="str">
        <f>IFERROR(__xludf.DUMMYFUNCTION("GOOGLETRANSLATE(B252,""en"",""de"")"),"Öffnen Sie die Einstellungen")</f>
        <v>Öffnen Sie die Einstellungen</v>
      </c>
      <c r="J252" s="4" t="str">
        <f>IFERROR(__xludf.DUMMYFUNCTION("GOOGLETRANSLATE(B252,""en"",""ko"")"),"설정 열기")</f>
        <v>설정 열기</v>
      </c>
      <c r="K252" s="4" t="str">
        <f>IFERROR(__xludf.DUMMYFUNCTION("GOOGLETRANSLATE(B252,""en"",""zh"")"),"打开“设置”")</f>
        <v>打开“设置”</v>
      </c>
      <c r="L252" s="4" t="str">
        <f>IFERROR(__xludf.DUMMYFUNCTION("GOOGLETRANSLATE(B252,""en"",""es"")"),"Abrir configuración")</f>
        <v>Abrir configuración</v>
      </c>
      <c r="M252" s="4" t="str">
        <f>IFERROR(__xludf.DUMMYFUNCTION("GOOGLETRANSLATE(B252,""en"",""iw"")"),"פתח את ההגדרות")</f>
        <v>פתח את ההגדרות</v>
      </c>
      <c r="N252" s="4" t="str">
        <f>IFERROR(__xludf.DUMMYFUNCTION("GOOGLETRANSLATE(B252,""en"",""bn"")"),"সেটিংস খুলুন")</f>
        <v>সেটিংস খুলুন</v>
      </c>
      <c r="O252" s="4" t="str">
        <f>IFERROR(__xludf.DUMMYFUNCTION("GOOGLETRANSLATE(B252,""en"",""pt"")"),"Abrir configurações")</f>
        <v>Abrir configurações</v>
      </c>
    </row>
    <row r="253">
      <c r="A253" s="7" t="s">
        <v>725</v>
      </c>
      <c r="B253" s="3" t="s">
        <v>726</v>
      </c>
      <c r="C253" s="4" t="str">
        <f>IFERROR(__xludf.DUMMYFUNCTION("GOOGLETRANSLATE(B253,""en"",""hi"")"),"हो गया")</f>
        <v>हो गया</v>
      </c>
      <c r="D253" s="6" t="s">
        <v>727</v>
      </c>
      <c r="E253" s="4" t="str">
        <f>IFERROR(__xludf.DUMMYFUNCTION("GOOGLETRANSLATE(B253,""en"",""fr"")"),"Fait")</f>
        <v>Fait</v>
      </c>
      <c r="F253" s="4" t="str">
        <f>IFERROR(__xludf.DUMMYFUNCTION("GOOGLETRANSLATE(B253,""en"",""tr"")"),"Tamamlamak")</f>
        <v>Tamamlamak</v>
      </c>
      <c r="G253" s="4" t="str">
        <f>IFERROR(__xludf.DUMMYFUNCTION("GOOGLETRANSLATE(B253,""en"",""ru"")"),"Сделанный")</f>
        <v>Сделанный</v>
      </c>
      <c r="H253" s="4" t="str">
        <f>IFERROR(__xludf.DUMMYFUNCTION("GOOGLETRANSLATE(B253,""en"",""it"")"),"Fatto")</f>
        <v>Fatto</v>
      </c>
      <c r="I253" s="4" t="str">
        <f>IFERROR(__xludf.DUMMYFUNCTION("GOOGLETRANSLATE(B253,""en"",""de"")"),"Erledigt")</f>
        <v>Erledigt</v>
      </c>
      <c r="J253" s="4" t="str">
        <f>IFERROR(__xludf.DUMMYFUNCTION("GOOGLETRANSLATE(B253,""en"",""ko"")"),"완료")</f>
        <v>완료</v>
      </c>
      <c r="K253" s="4" t="str">
        <f>IFERROR(__xludf.DUMMYFUNCTION("GOOGLETRANSLATE(B253,""en"",""zh"")"),"完毕")</f>
        <v>完毕</v>
      </c>
      <c r="L253" s="4" t="str">
        <f>IFERROR(__xludf.DUMMYFUNCTION("GOOGLETRANSLATE(B253,""en"",""es"")"),"Hecho")</f>
        <v>Hecho</v>
      </c>
      <c r="M253" s="4" t="str">
        <f>IFERROR(__xludf.DUMMYFUNCTION("GOOGLETRANSLATE(B253,""en"",""iw"")"),"נַעֲשָׂה")</f>
        <v>נַעֲשָׂה</v>
      </c>
      <c r="N253" s="4" t="str">
        <f>IFERROR(__xludf.DUMMYFUNCTION("GOOGLETRANSLATE(B253,""en"",""bn"")"),"সম্পন্ন")</f>
        <v>সম্পন্ন</v>
      </c>
      <c r="O253" s="4" t="str">
        <f>IFERROR(__xludf.DUMMYFUNCTION("GOOGLETRANSLATE(B253,""en"",""pt"")"),"Feito")</f>
        <v>Feito</v>
      </c>
    </row>
    <row r="254">
      <c r="A254" s="7" t="s">
        <v>728</v>
      </c>
      <c r="B254" s="9" t="s">
        <v>729</v>
      </c>
      <c r="C254" s="4" t="str">
        <f>IFERROR(__xludf.DUMMYFUNCTION("GOOGLETRANSLATE(B254,""en"",""hi"")"),"एसओएस के लिए संपर्क चुनने हेतु संपर्क एक्सेस की आवश्यकता है, कृपया इसे सेटिंग्स में सक्षम करें और पूर्ण पर टैप करें")</f>
        <v>एसओएस के लिए संपर्क चुनने हेतु संपर्क एक्सेस की आवश्यकता है, कृपया इसे सेटिंग्स में सक्षम करें और पूर्ण पर टैप करें</v>
      </c>
      <c r="D254" s="4" t="str">
        <f>IFERROR(__xludf.DUMMYFUNCTION("GOOGLETRANSLATE(B254,""en"",""ar"")"),"يلزم الوصول إلى جهة الاتصال لاختيار جهة اتصال لإرسال SOS، يرجى تمكينها في الإعدادات والنقر فوق تم")</f>
        <v>يلزم الوصول إلى جهة الاتصال لاختيار جهة اتصال لإرسال SOS، يرجى تمكينها في الإعدادات والنقر فوق تم</v>
      </c>
      <c r="E254" s="4" t="str">
        <f>IFERROR(__xludf.DUMMYFUNCTION("GOOGLETRANSLATE(B254,""en"",""fr"")"),"L'accès aux contacts est nécessaire pour sélectionner un contact pour SOS, veuillez l'activer dans les paramètres et appuyez sur Terminé")</f>
        <v>L'accès aux contacts est nécessaire pour sélectionner un contact pour SOS, veuillez l'activer dans les paramètres et appuyez sur Terminé</v>
      </c>
      <c r="F254" s="4" t="str">
        <f>IFERROR(__xludf.DUMMYFUNCTION("GOOGLETRANSLATE(B254,""en"",""tr"")"),"SOS için kişi seçmek için kişi erişimi gereklidir, lütfen ayarlarda etkinleştirin ve bitti'ye dokunun")</f>
        <v>SOS için kişi seçmek için kişi erişimi gereklidir, lütfen ayarlarda etkinleştirin ve bitti'ye dokunun</v>
      </c>
      <c r="G254" s="4" t="str">
        <f>IFERROR(__xludf.DUMMYFUNCTION("GOOGLETRANSLATE(B254,""en"",""ru"")"),"Для выбора контакта для SOS необходим доступ к контактам. Включите его в настройках и нажмите «Готово».")</f>
        <v>Для выбора контакта для SOS необходим доступ к контактам. Включите его в настройках и нажмите «Готово».</v>
      </c>
      <c r="H254" s="4" t="str">
        <f>IFERROR(__xludf.DUMMYFUNCTION("GOOGLETRANSLATE(B254,""en"",""it"")"),"È necessario l'accesso al contatto per selezionare il contatto per SOS, abilitarlo nelle impostazioni e toccare Fine")</f>
        <v>È necessario l'accesso al contatto per selezionare il contatto per SOS, abilitarlo nelle impostazioni e toccare Fine</v>
      </c>
      <c r="I254" s="4" t="str">
        <f>IFERROR(__xludf.DUMMYFUNCTION("GOOGLETRANSLATE(B254,""en"",""de"")"),"Um einen Kontakt für SOS auszuwählen, ist Kontaktzugriff erforderlich. Bitte aktivieren Sie ihn in den Einstellungen und tippen Sie auf „Fertig“.")</f>
        <v>Um einen Kontakt für SOS auszuwählen, ist Kontaktzugriff erforderlich. Bitte aktivieren Sie ihn in den Einstellungen und tippen Sie auf „Fertig“.</v>
      </c>
      <c r="J254" s="4" t="str">
        <f>IFERROR(__xludf.DUMMYFUNCTION("GOOGLETRANSLATE(B254,""en"",""ko"")"),"SOS 연락처를 선택하려면 연락처 액세스가 필요합니다. 설정에서 활성화하고 완료를 탭하세요.")</f>
        <v>SOS 연락처를 선택하려면 연락처 액세스가 필요합니다. 설정에서 활성화하고 완료를 탭하세요.</v>
      </c>
      <c r="K254" s="4" t="str">
        <f>IFERROR(__xludf.DUMMYFUNCTION("GOOGLETRANSLATE(B254,""en"",""zh"")"),"需要联系人访问权限才能选择 SOS 联系人，请在设置中启用它并点击完成")</f>
        <v>需要联系人访问权限才能选择 SOS 联系人，请在设置中启用它并点击完成</v>
      </c>
      <c r="L254" s="4" t="str">
        <f>IFERROR(__xludf.DUMMYFUNCTION("GOOGLETRANSLATE(B254,""en"",""es"")"),"Se necesita acceso de contacto para elegir un contacto para SOS, habilítelo en la configuración y toque Listo")</f>
        <v>Se necesita acceso de contacto para elegir un contacto para SOS, habilítelo en la configuración y toque Listo</v>
      </c>
      <c r="M254" s="4" t="str">
        <f>IFERROR(__xludf.DUMMYFUNCTION("GOOGLETRANSLATE(B254,""en"",""iw"")"),"יש צורך בגישה לאנשי קשר כדי לבחור איש קשר עבור SOS, אפשר להפעיל אותו בהגדרות והקש על סיום")</f>
        <v>יש צורך בגישה לאנשי קשר כדי לבחור איש קשר עבור SOS, אפשר להפעיל אותו בהגדרות והקש על סיום</v>
      </c>
      <c r="N254" s="4" t="str">
        <f>IFERROR(__xludf.DUMMYFUNCTION("GOOGLETRANSLATE(B254,""en"",""bn"")"),"এসওএস-এর জন্য পরিচিতি বাছাই করার জন্য যোগাযোগের অ্যাক্সেস প্রয়োজন, সেটিংসে এটি সক্ষম করুন এবং সম্পন্ন ট্যাপ করুন")</f>
        <v>এসওএস-এর জন্য পরিচিতি বাছাই করার জন্য যোগাযোগের অ্যাক্সেস প্রয়োজন, সেটিংসে এটি সক্ষম করুন এবং সম্পন্ন ট্যাপ করুন</v>
      </c>
      <c r="O254" s="4" t="str">
        <f>IFERROR(__xludf.DUMMYFUNCTION("GOOGLETRANSLATE(B254,""en"",""pt"")"),"O acesso ao contato é necessário para escolher o contato para SOS, por favor, habilite-o nas configurações e toque em Concluído")</f>
        <v>O acesso ao contato é necessário para escolher o contato para SOS, por favor, habilite-o nas configurações e toque em Concluído</v>
      </c>
    </row>
    <row r="255">
      <c r="A255" s="7" t="s">
        <v>730</v>
      </c>
      <c r="B255" s="9" t="s">
        <v>731</v>
      </c>
      <c r="C255" s="4" t="str">
        <f>IFERROR(__xludf.DUMMYFUNCTION("GOOGLETRANSLATE(B255,""en"",""hi"")"),"चित्र कैप्चर करने के लिए कैमरा एक्सेस की आवश्यकता है, कृपया इसे सेटिंग्स में सक्षम करें और पूर्ण पर टैप करें")</f>
        <v>चित्र कैप्चर करने के लिए कैमरा एक्सेस की आवश्यकता है, कृपया इसे सेटिंग्स में सक्षम करें और पूर्ण पर टैप करें</v>
      </c>
      <c r="D255" s="4" t="str">
        <f>IFERROR(__xludf.DUMMYFUNCTION("GOOGLETRANSLATE(B255,""en"",""ar"")"),"يلزم الوصول إلى الكاميرا لالتقاط الصورة، يرجى تمكينها في الإعدادات والنقر فوق تم")</f>
        <v>يلزم الوصول إلى الكاميرا لالتقاط الصورة، يرجى تمكينها في الإعدادات والنقر فوق تم</v>
      </c>
      <c r="E255" s="4" t="str">
        <f>IFERROR(__xludf.DUMMYFUNCTION("GOOGLETRANSLATE(B255,""en"",""fr"")"),"L'accès à l'appareil photo est nécessaire pour capturer l'image, veuillez l'activer dans les paramètres et appuyez sur Terminé")</f>
        <v>L'accès à l'appareil photo est nécessaire pour capturer l'image, veuillez l'activer dans les paramètres et appuyez sur Terminé</v>
      </c>
      <c r="F255" s="4" t="str">
        <f>IFERROR(__xludf.DUMMYFUNCTION("GOOGLETRANSLATE(B255,""en"",""tr"")"),"Görüntüyü yakalamak için kamera erişimi gerekiyor, lütfen ayarlardan etkinleştirin ve ""bitti""ye dokunun")</f>
        <v>Görüntüyü yakalamak için kamera erişimi gerekiyor, lütfen ayarlardan etkinleştirin ve "bitti"ye dokunun</v>
      </c>
      <c r="G255" s="4" t="str">
        <f>IFERROR(__xludf.DUMMYFUNCTION("GOOGLETRANSLATE(B255,""en"",""ru"")"),"Для съемки изображения необходим доступ к камере. Включите его в настройках и нажмите «Готово».")</f>
        <v>Для съемки изображения необходим доступ к камере. Включите его в настройках и нажмите «Готово».</v>
      </c>
      <c r="H255" s="4" t="str">
        <f>IFERROR(__xludf.DUMMYFUNCTION("GOOGLETRANSLATE(B255,""en"",""it"")"),"Per acquisire l'immagine è necessario l'accesso alla fotocamera, abilitarlo nelle impostazioni e toccare Fine")</f>
        <v>Per acquisire l'immagine è necessario l'accesso alla fotocamera, abilitarlo nelle impostazioni e toccare Fine</v>
      </c>
      <c r="I255" s="4" t="str">
        <f>IFERROR(__xludf.DUMMYFUNCTION("GOOGLETRANSLATE(B255,""en"",""de"")"),"Zum Aufnehmen von Bildern ist ein Kamerazugriff erforderlich. Aktivieren Sie ihn bitte in den Einstellungen und tippen Sie auf „Fertig“.")</f>
        <v>Zum Aufnehmen von Bildern ist ein Kamerazugriff erforderlich. Aktivieren Sie ihn bitte in den Einstellungen und tippen Sie auf „Fertig“.</v>
      </c>
      <c r="J255" s="4" t="str">
        <f>IFERROR(__xludf.DUMMYFUNCTION("GOOGLETRANSLATE(B255,""en"",""ko"")"),"이미지를 캡처하려면 카메라 액세스가 필요합니다. 설정에서 활성화하고 완료를 탭하세요.")</f>
        <v>이미지를 캡처하려면 카메라 액세스가 필요합니다. 설정에서 활성화하고 완료를 탭하세요.</v>
      </c>
      <c r="K255" s="4" t="str">
        <f>IFERROR(__xludf.DUMMYFUNCTION("GOOGLETRANSLATE(B255,""en"",""zh"")"),"需要访问相机才能捕捉图像，请在设置中启用它并点击完成")</f>
        <v>需要访问相机才能捕捉图像，请在设置中启用它并点击完成</v>
      </c>
      <c r="L255" s="4" t="str">
        <f>IFERROR(__xludf.DUMMYFUNCTION("GOOGLETRANSLATE(B255,""en"",""es"")"),"Se necesita acceso a la cámara para capturar imágenes; habilítelo en la configuración y toque Listo.")</f>
        <v>Se necesita acceso a la cámara para capturar imágenes; habilítelo en la configuración y toque Listo.</v>
      </c>
      <c r="M255" s="4" t="str">
        <f>IFERROR(__xludf.DUMMYFUNCTION("GOOGLETRANSLATE(B255,""en"",""iw"")"),"יש צורך בגישה למצלמה כדי לצלם תמונה, אנא הפעל אותה בהגדרות והקש על סיום")</f>
        <v>יש צורך בגישה למצלמה כדי לצלם תמונה, אנא הפעל אותה בהגדרות והקש על סיום</v>
      </c>
      <c r="N255" s="4" t="str">
        <f>IFERROR(__xludf.DUMMYFUNCTION("GOOGLETRANSLATE(B255,""en"",""bn"")"),"ছবি ক্যাপচার করার জন্য ক্যামেরা অ্যাক্সেস প্রয়োজন, অনুগ্রহ করে সেটিংসে এটি সক্ষম করুন এবং সম্পন্ন আলতো চাপুন")</f>
        <v>ছবি ক্যাপচার করার জন্য ক্যামেরা অ্যাক্সেস প্রয়োজন, অনুগ্রহ করে সেটিংসে এটি সক্ষম করুন এবং সম্পন্ন আলতো চাপুন</v>
      </c>
      <c r="O255" s="4" t="str">
        <f>IFERROR(__xludf.DUMMYFUNCTION("GOOGLETRANSLATE(B255,""en"",""pt"")"),"É necessário acesso à câmera para capturar a imagem, ative-a nas configurações e toque em Concluído")</f>
        <v>É necessário acesso à câmera para capturar a imagem, ative-a nas configurações e toque em Concluído</v>
      </c>
    </row>
    <row r="256">
      <c r="A256" s="7" t="s">
        <v>732</v>
      </c>
      <c r="B256" s="9" t="s">
        <v>733</v>
      </c>
      <c r="C256" s="4" t="str">
        <f>IFERROR(__xludf.DUMMYFUNCTION("GOOGLETRANSLATE(B256,""en"",""hi"")"),"छवि चुनने के लिए फ़ोटो एक्सेस की आवश्यकता है, कृपया इसे सेटिंग्स में सक्षम करें और पूर्ण पर टैप करें")</f>
        <v>छवि चुनने के लिए फ़ोटो एक्सेस की आवश्यकता है, कृपया इसे सेटिंग्स में सक्षम करें और पूर्ण पर टैप करें</v>
      </c>
      <c r="D256" s="4" t="str">
        <f>IFERROR(__xludf.DUMMYFUNCTION("GOOGLETRANSLATE(B256,""en"",""ar"")"),"يلزم الوصول إلى الصور لاختيار الصورة، يرجى تمكينها في الإعدادات والنقر فوق تم")</f>
        <v>يلزم الوصول إلى الصور لاختيار الصورة، يرجى تمكينها في الإعدادات والنقر فوق تم</v>
      </c>
      <c r="E256" s="4" t="str">
        <f>IFERROR(__xludf.DUMMYFUNCTION("GOOGLETRANSLATE(B256,""en"",""fr"")"),"L'accès aux photos est nécessaire pour choisir l'image, veuillez l'activer dans les paramètres et appuyez sur Terminé")</f>
        <v>L'accès aux photos est nécessaire pour choisir l'image, veuillez l'activer dans les paramètres et appuyez sur Terminé</v>
      </c>
      <c r="F256" s="4" t="str">
        <f>IFERROR(__xludf.DUMMYFUNCTION("GOOGLETRANSLATE(B256,""en"",""tr"")"),"Resim seçmek için fotoğraflara erişim gerekiyor, lütfen ayarlardan etkinleştirin ve ""bitti""ye dokunun")</f>
        <v>Resim seçmek için fotoğraflara erişim gerekiyor, lütfen ayarlardan etkinleştirin ve "bitti"ye dokunun</v>
      </c>
      <c r="G256" s="4" t="str">
        <f>IFERROR(__xludf.DUMMYFUNCTION("GOOGLETRANSLATE(B256,""en"",""ru"")"),"Для выбора изображения необходим доступ к фотографиям. Включите его в настройках и нажмите «Готово».")</f>
        <v>Для выбора изображения необходим доступ к фотографиям. Включите его в настройках и нажмите «Готово».</v>
      </c>
      <c r="H256" s="4" t="str">
        <f>IFERROR(__xludf.DUMMYFUNCTION("GOOGLETRANSLATE(B256,""en"",""it"")"),"Per selezionare l'immagine è necessario l'accesso alle foto, abilitalo nelle impostazioni e tocca Fine")</f>
        <v>Per selezionare l'immagine è necessario l'accesso alle foto, abilitalo nelle impostazioni e tocca Fine</v>
      </c>
      <c r="I256" s="4" t="str">
        <f>IFERROR(__xludf.DUMMYFUNCTION("GOOGLETRANSLATE(B256,""en"",""de"")"),"Zum Auswählen des Bildes ist ein Zugriff auf Fotos erforderlich. Aktivieren Sie ihn bitte in den Einstellungen und tippen Sie auf „Fertig“.")</f>
        <v>Zum Auswählen des Bildes ist ein Zugriff auf Fotos erforderlich. Aktivieren Sie ihn bitte in den Einstellungen und tippen Sie auf „Fertig“.</v>
      </c>
      <c r="J256" s="4" t="str">
        <f>IFERROR(__xludf.DUMMYFUNCTION("GOOGLETRANSLATE(B256,""en"",""ko"")"),"이미지를 선택하려면 사진 액세스가 필요합니다. 설정에서 활성화하고 완료를 탭하세요.")</f>
        <v>이미지를 선택하려면 사진 액세스가 필요합니다. 설정에서 활성화하고 완료를 탭하세요.</v>
      </c>
      <c r="K256" s="4" t="str">
        <f>IFERROR(__xludf.DUMMYFUNCTION("GOOGLETRANSLATE(B256,""en"",""zh"")"),"需要照片访问权限才能选择图像，请在设置中启用它并点击完成")</f>
        <v>需要照片访问权限才能选择图像，请在设置中启用它并点击完成</v>
      </c>
      <c r="L256" s="4" t="str">
        <f>IFERROR(__xludf.DUMMYFUNCTION("GOOGLETRANSLATE(B256,""en"",""es"")"),"Es necesario acceder a las fotos para seleccionar la imagen; habilítela en la configuración y toque Listo.")</f>
        <v>Es necesario acceder a las fotos para seleccionar la imagen; habilítela en la configuración y toque Listo.</v>
      </c>
      <c r="M256" s="4" t="str">
        <f>IFERROR(__xludf.DUMMYFUNCTION("GOOGLETRANSLATE(B256,""en"",""iw"")"),"יש צורך בגישה לתמונות כדי לבחור תמונה, אנא הפעל אותה בהגדרות והקש על סיום")</f>
        <v>יש צורך בגישה לתמונות כדי לבחור תמונה, אנא הפעל אותה בהגדרות והקש על סיום</v>
      </c>
      <c r="N256" s="4" t="str">
        <f>IFERROR(__xludf.DUMMYFUNCTION("GOOGLETRANSLATE(B256,""en"",""bn"")"),"ছবি বাছাই করতে ফটো অ্যাক্সেস প্রয়োজন, অনুগ্রহ করে সেটিংসে এটি সক্ষম করুন এবং হয়ে গেছে আলতো চাপুন")</f>
        <v>ছবি বাছাই করতে ফটো অ্যাক্সেস প্রয়োজন, অনুগ্রহ করে সেটিংসে এটি সক্ষম করুন এবং হয়ে গেছে আলতো চাপুন</v>
      </c>
      <c r="O256" s="4" t="str">
        <f>IFERROR(__xludf.DUMMYFUNCTION("GOOGLETRANSLATE(B256,""en"",""pt"")"),"É necessário acesso às fotos para escolher a imagem, ative-o nas configurações e toque em Concluído")</f>
        <v>É necessário acesso às fotos para escolher a imagem, ative-o nas configurações e toque em Concluído</v>
      </c>
    </row>
    <row r="257">
      <c r="A257" s="7" t="s">
        <v>734</v>
      </c>
      <c r="B257" s="9" t="s">
        <v>735</v>
      </c>
      <c r="C257" s="4" t="str">
        <f>IFERROR(__xludf.DUMMYFUNCTION("GOOGLETRANSLATE(B257,""en"",""hi"")"),"ओटीपी दर्ज करें")</f>
        <v>ओटीपी दर्ज करें</v>
      </c>
      <c r="D257" s="4" t="str">
        <f>IFERROR(__xludf.DUMMYFUNCTION("GOOGLETRANSLATE(B257,""en"",""ar"")"),"أدخل كلمة المرور المؤقتة")</f>
        <v>أدخل كلمة المرور المؤقتة</v>
      </c>
      <c r="E257" s="4" t="str">
        <f>IFERROR(__xludf.DUMMYFUNCTION("GOOGLETRANSLATE(B257,""en"",""fr"")"),"Entrez OTP")</f>
        <v>Entrez OTP</v>
      </c>
      <c r="F257" s="4" t="str">
        <f>IFERROR(__xludf.DUMMYFUNCTION("GOOGLETRANSLATE(B257,""en"",""tr"")"),"Otp'ye girin")</f>
        <v>Otp'ye girin</v>
      </c>
      <c r="G257" s="4" t="str">
        <f>IFERROR(__xludf.DUMMYFUNCTION("GOOGLETRANSLATE(B257,""en"",""ru"")"),"Введите Otp")</f>
        <v>Введите Otp</v>
      </c>
      <c r="H257" s="4" t="str">
        <f>IFERROR(__xludf.DUMMYFUNCTION("GOOGLETRANSLATE(B257,""en"",""it"")"),"Inserisci OTP")</f>
        <v>Inserisci OTP</v>
      </c>
      <c r="I257" s="4" t="str">
        <f>IFERROR(__xludf.DUMMYFUNCTION("GOOGLETRANSLATE(B257,""en"",""de"")"),"Geben Sie OTP ein")</f>
        <v>Geben Sie OTP ein</v>
      </c>
      <c r="J257" s="4" t="str">
        <f>IFERROR(__xludf.DUMMYFUNCTION("GOOGLETRANSLATE(B257,""en"",""ko"")"),"OTP 입력")</f>
        <v>OTP 입력</v>
      </c>
      <c r="K257" s="4" t="str">
        <f>IFERROR(__xludf.DUMMYFUNCTION("GOOGLETRANSLATE(B257,""en"",""zh"")"),"输入一次性密码")</f>
        <v>输入一次性密码</v>
      </c>
      <c r="L257" s="4" t="str">
        <f>IFERROR(__xludf.DUMMYFUNCTION("GOOGLETRANSLATE(B257,""en"",""es"")"),"Ingresar Otp")</f>
        <v>Ingresar Otp</v>
      </c>
      <c r="M257" s="4" t="str">
        <f>IFERROR(__xludf.DUMMYFUNCTION("GOOGLETRANSLATE(B257,""en"",""iw"")"),"הזן Otp")</f>
        <v>הזן Otp</v>
      </c>
      <c r="N257" s="4" t="str">
        <f>IFERROR(__xludf.DUMMYFUNCTION("GOOGLETRANSLATE(B257,""en"",""bn"")"),"Otp লিখুন")</f>
        <v>Otp লিখুন</v>
      </c>
      <c r="O257" s="4" t="str">
        <f>IFERROR(__xludf.DUMMYFUNCTION("GOOGLETRANSLATE(B257,""en"",""pt"")"),"Digite Otp")</f>
        <v>Digite Otp</v>
      </c>
    </row>
    <row r="258">
      <c r="A258" s="7" t="s">
        <v>736</v>
      </c>
      <c r="B258" s="9" t="s">
        <v>737</v>
      </c>
      <c r="C258" s="4" t="str">
        <f>IFERROR(__xludf.DUMMYFUNCTION("GOOGLETRANSLATE(B258,""en"",""hi"")"),"कार्ड द्वारा जोड़ें")</f>
        <v>कार्ड द्वारा जोड़ें</v>
      </c>
      <c r="D258" s="4" t="str">
        <f>IFERROR(__xludf.DUMMYFUNCTION("GOOGLETRANSLATE(B258,""en"",""ar"")"),"إضافة عن طريق البطاقة")</f>
        <v>إضافة عن طريق البطاقة</v>
      </c>
      <c r="E258" s="4" t="str">
        <f>IFERROR(__xludf.DUMMYFUNCTION("GOOGLETRANSLATE(B258,""en"",""fr"")"),"Ajouter par carte")</f>
        <v>Ajouter par carte</v>
      </c>
      <c r="F258" s="4" t="str">
        <f>IFERROR(__xludf.DUMMYFUNCTION("GOOGLETRANSLATE(B258,""en"",""tr"")"),"Kartla Ekle")</f>
        <v>Kartla Ekle</v>
      </c>
      <c r="G258" s="4" t="str">
        <f>IFERROR(__xludf.DUMMYFUNCTION("GOOGLETRANSLATE(B258,""en"",""ru"")"),"Добавить картой")</f>
        <v>Добавить картой</v>
      </c>
      <c r="H258" s="4" t="str">
        <f>IFERROR(__xludf.DUMMYFUNCTION("GOOGLETRANSLATE(B258,""en"",""it"")"),"Aggiungi tramite carta")</f>
        <v>Aggiungi tramite carta</v>
      </c>
      <c r="I258" s="4" t="str">
        <f>IFERROR(__xludf.DUMMYFUNCTION("GOOGLETRANSLATE(B258,""en"",""de"")"),"Per Karte hinzufügen")</f>
        <v>Per Karte hinzufügen</v>
      </c>
      <c r="J258" s="4" t="str">
        <f>IFERROR(__xludf.DUMMYFUNCTION("GOOGLETRANSLATE(B258,""en"",""ko"")"),"카드로 추가")</f>
        <v>카드로 추가</v>
      </c>
      <c r="K258" s="4" t="str">
        <f>IFERROR(__xludf.DUMMYFUNCTION("GOOGLETRANSLATE(B258,""en"",""zh"")"),"通过卡添加")</f>
        <v>通过卡添加</v>
      </c>
      <c r="L258" s="4" t="str">
        <f>IFERROR(__xludf.DUMMYFUNCTION("GOOGLETRANSLATE(B258,""en"",""es"")"),"Añadir por tarjeta")</f>
        <v>Añadir por tarjeta</v>
      </c>
      <c r="M258" s="4" t="str">
        <f>IFERROR(__xludf.DUMMYFUNCTION("GOOGLETRANSLATE(B258,""en"",""iw"")"),"הוסף באמצעות כרטיס")</f>
        <v>הוסף באמצעות כרטיס</v>
      </c>
      <c r="N258" s="4" t="str">
        <f>IFERROR(__xludf.DUMMYFUNCTION("GOOGLETRANSLATE(B258,""en"",""bn"")"),"কার্ড দ্বারা যোগ করুন")</f>
        <v>কার্ড দ্বারা যোগ করুন</v>
      </c>
      <c r="O258" s="4" t="str">
        <f>IFERROR(__xludf.DUMMYFUNCTION("GOOGLETRANSLATE(B258,""en"",""pt"")"),"Adicionar por cartão")</f>
        <v>Adicionar por cartão</v>
      </c>
    </row>
    <row r="259">
      <c r="A259" s="7" t="s">
        <v>738</v>
      </c>
      <c r="B259" s="9" t="s">
        <v>739</v>
      </c>
      <c r="C259" s="4" t="str">
        <f>IFERROR(__xludf.DUMMYFUNCTION("GOOGLETRANSLATE(B259,""en"",""hi"")"),"कियोस्क द्वारा जोड़ें")</f>
        <v>कियोस्क द्वारा जोड़ें</v>
      </c>
      <c r="D259" s="4" t="str">
        <f>IFERROR(__xludf.DUMMYFUNCTION("GOOGLETRANSLATE(B259,""en"",""ar"")"),"إضافة عن طريق الكشك")</f>
        <v>إضافة عن طريق الكشك</v>
      </c>
      <c r="E259" s="4" t="str">
        <f>IFERROR(__xludf.DUMMYFUNCTION("GOOGLETRANSLATE(B259,""en"",""fr"")"),"Ajouter par kiosque")</f>
        <v>Ajouter par kiosque</v>
      </c>
      <c r="F259" s="4" t="str">
        <f>IFERROR(__xludf.DUMMYFUNCTION("GOOGLETRANSLATE(B259,""en"",""tr"")"),"Kiosk ile ekle")</f>
        <v>Kiosk ile ekle</v>
      </c>
      <c r="G259" s="4" t="str">
        <f>IFERROR(__xludf.DUMMYFUNCTION("GOOGLETRANSLATE(B259,""en"",""ru"")"),"Добавить через киоск")</f>
        <v>Добавить через киоск</v>
      </c>
      <c r="H259" s="4" t="str">
        <f>IFERROR(__xludf.DUMMYFUNCTION("GOOGLETRANSLATE(B259,""en"",""it"")"),"Aggiungi tramite chiosco")</f>
        <v>Aggiungi tramite chiosco</v>
      </c>
      <c r="I259" s="4" t="str">
        <f>IFERROR(__xludf.DUMMYFUNCTION("GOOGLETRANSLATE(B259,""en"",""de"")"),"Über Kiosk hinzufügen")</f>
        <v>Über Kiosk hinzufügen</v>
      </c>
      <c r="J259" s="4" t="str">
        <f>IFERROR(__xludf.DUMMYFUNCTION("GOOGLETRANSLATE(B259,""en"",""ko"")"),"키오스크를 통해 추가")</f>
        <v>키오스크를 통해 추가</v>
      </c>
      <c r="K259" s="4" t="str">
        <f>IFERROR(__xludf.DUMMYFUNCTION("GOOGLETRANSLATE(B259,""en"",""zh"")"),"通过自助服务终端添加")</f>
        <v>通过自助服务终端添加</v>
      </c>
      <c r="L259" s="4" t="str">
        <f>IFERROR(__xludf.DUMMYFUNCTION("GOOGLETRANSLATE(B259,""en"",""es"")"),"Agregar por quiosco")</f>
        <v>Agregar por quiosco</v>
      </c>
      <c r="M259" s="4" t="str">
        <f>IFERROR(__xludf.DUMMYFUNCTION("GOOGLETRANSLATE(B259,""en"",""iw"")"),"הוסף לפי קיוסק")</f>
        <v>הוסף לפי קיוסק</v>
      </c>
      <c r="N259" s="4" t="str">
        <f>IFERROR(__xludf.DUMMYFUNCTION("GOOGLETRANSLATE(B259,""en"",""bn"")"),"কিয়স্ক দ্বারা যোগ করুন")</f>
        <v>কিয়স্ক দ্বারা যোগ করুন</v>
      </c>
      <c r="O259" s="4" t="str">
        <f>IFERROR(__xludf.DUMMYFUNCTION("GOOGLETRANSLATE(B259,""en"",""pt"")"),"Adicionar por quiosque")</f>
        <v>Adicionar por quiosque</v>
      </c>
    </row>
    <row r="260">
      <c r="A260" s="7" t="s">
        <v>740</v>
      </c>
      <c r="B260" s="9" t="s">
        <v>741</v>
      </c>
      <c r="C260" s="4" t="str">
        <f>IFERROR(__xludf.DUMMYFUNCTION("GOOGLETRANSLATE(B260,""en"",""hi"")"),"कार्ड से भुगतान करें")</f>
        <v>कार्ड से भुगतान करें</v>
      </c>
      <c r="D260" s="4" t="str">
        <f>IFERROR(__xludf.DUMMYFUNCTION("GOOGLETRANSLATE(B260,""en"",""ar"")"),"الدفع بالبطاقة")</f>
        <v>الدفع بالبطاقة</v>
      </c>
      <c r="E260" s="4" t="str">
        <f>IFERROR(__xludf.DUMMYFUNCTION("GOOGLETRANSLATE(B260,""en"",""fr"")"),"Payer par carte")</f>
        <v>Payer par carte</v>
      </c>
      <c r="F260" s="4" t="str">
        <f>IFERROR(__xludf.DUMMYFUNCTION("GOOGLETRANSLATE(B260,""en"",""tr"")"),"Kartla Öde")</f>
        <v>Kartla Öde</v>
      </c>
      <c r="G260" s="4" t="str">
        <f>IFERROR(__xludf.DUMMYFUNCTION("GOOGLETRANSLATE(B260,""en"",""ru"")"),"Оплата картой")</f>
        <v>Оплата картой</v>
      </c>
      <c r="H260" s="4" t="str">
        <f>IFERROR(__xludf.DUMMYFUNCTION("GOOGLETRANSLATE(B260,""en"",""it"")"),"Paga con carta")</f>
        <v>Paga con carta</v>
      </c>
      <c r="I260" s="4" t="str">
        <f>IFERROR(__xludf.DUMMYFUNCTION("GOOGLETRANSLATE(B260,""en"",""de"")"),"Mit Karte bezahlen")</f>
        <v>Mit Karte bezahlen</v>
      </c>
      <c r="J260" s="4" t="str">
        <f>IFERROR(__xludf.DUMMYFUNCTION("GOOGLETRANSLATE(B260,""en"",""ko"")"),"카드로 결제")</f>
        <v>카드로 결제</v>
      </c>
      <c r="K260" s="4" t="str">
        <f>IFERROR(__xludf.DUMMYFUNCTION("GOOGLETRANSLATE(B260,""en"",""zh"")"),"卡支付")</f>
        <v>卡支付</v>
      </c>
      <c r="L260" s="4" t="str">
        <f>IFERROR(__xludf.DUMMYFUNCTION("GOOGLETRANSLATE(B260,""en"",""es"")"),"Pagar con tarjeta")</f>
        <v>Pagar con tarjeta</v>
      </c>
      <c r="M260" s="4" t="str">
        <f>IFERROR(__xludf.DUMMYFUNCTION("GOOGLETRANSLATE(B260,""en"",""iw"")"),"שלם בכרטיס")</f>
        <v>שלם בכרטיס</v>
      </c>
      <c r="N260" s="4" t="str">
        <f>IFERROR(__xludf.DUMMYFUNCTION("GOOGLETRANSLATE(B260,""en"",""bn"")"),"কার্ড দ্বারা অর্থ প্রদান করুন")</f>
        <v>কার্ড দ্বারা অর্থ প্রদান করুন</v>
      </c>
      <c r="O260" s="4" t="str">
        <f>IFERROR(__xludf.DUMMYFUNCTION("GOOGLETRANSLATE(B260,""en"",""pt"")"),"Pagar com cartão")</f>
        <v>Pagar com cartão</v>
      </c>
    </row>
    <row r="261">
      <c r="A261" s="7" t="s">
        <v>742</v>
      </c>
      <c r="B261" s="9" t="s">
        <v>743</v>
      </c>
      <c r="C261" s="4" t="str">
        <f>IFERROR(__xludf.DUMMYFUNCTION("GOOGLETRANSLATE(B261,""en"",""hi"")"),"कियोस्क द्वारा भुगतान करें")</f>
        <v>कियोस्क द्वारा भुगतान करें</v>
      </c>
      <c r="D261" s="4" t="str">
        <f>IFERROR(__xludf.DUMMYFUNCTION("GOOGLETRANSLATE(B261,""en"",""ar"")"),"الدفع عن طريق الكشك")</f>
        <v>الدفع عن طريق الكشك</v>
      </c>
      <c r="E261" s="4" t="str">
        <f>IFERROR(__xludf.DUMMYFUNCTION("GOOGLETRANSLATE(B261,""en"",""fr"")"),"Paiement par kiosque")</f>
        <v>Paiement par kiosque</v>
      </c>
      <c r="F261" s="4" t="str">
        <f>IFERROR(__xludf.DUMMYFUNCTION("GOOGLETRANSLATE(B261,""en"",""tr"")"),"Kiosk ile Ödeme")</f>
        <v>Kiosk ile Ödeme</v>
      </c>
      <c r="G261" s="4" t="str">
        <f>IFERROR(__xludf.DUMMYFUNCTION("GOOGLETRANSLATE(B261,""en"",""ru"")"),"Оплата через киоск")</f>
        <v>Оплата через киоск</v>
      </c>
      <c r="H261" s="4" t="str">
        <f>IFERROR(__xludf.DUMMYFUNCTION("GOOGLETRANSLATE(B261,""en"",""it"")"),"Paga tramite chiosco")</f>
        <v>Paga tramite chiosco</v>
      </c>
      <c r="I261" s="4" t="str">
        <f>IFERROR(__xludf.DUMMYFUNCTION("GOOGLETRANSLATE(B261,""en"",""de"")"),"Bezahlen am Kiosk")</f>
        <v>Bezahlen am Kiosk</v>
      </c>
      <c r="J261" s="4" t="str">
        <f>IFERROR(__xludf.DUMMYFUNCTION("GOOGLETRANSLATE(B261,""en"",""ko"")"),"키오스크 결제")</f>
        <v>키오스크 결제</v>
      </c>
      <c r="K261" s="4" t="str">
        <f>IFERROR(__xludf.DUMMYFUNCTION("GOOGLETRANSLATE(B261,""en"",""zh"")"),"通过自助服务终端付款")</f>
        <v>通过自助服务终端付款</v>
      </c>
      <c r="L261" s="4" t="str">
        <f>IFERROR(__xludf.DUMMYFUNCTION("GOOGLETRANSLATE(B261,""en"",""es"")"),"Pagar por quiosco")</f>
        <v>Pagar por quiosco</v>
      </c>
      <c r="M261" s="4" t="str">
        <f>IFERROR(__xludf.DUMMYFUNCTION("GOOGLETRANSLATE(B261,""en"",""iw"")"),"תשלום בקיוסק")</f>
        <v>תשלום בקיוסק</v>
      </c>
      <c r="N261" s="4" t="str">
        <f>IFERROR(__xludf.DUMMYFUNCTION("GOOGLETRANSLATE(B261,""en"",""bn"")"),"কিয়স্ক দ্বারা অর্থ প্রদান করুন")</f>
        <v>কিয়স্ক দ্বারা অর্থ প্রদান করুন</v>
      </c>
      <c r="O261" s="4" t="str">
        <f>IFERROR(__xludf.DUMMYFUNCTION("GOOGLETRANSLATE(B261,""en"",""pt"")"),"Pagar por quiosque")</f>
        <v>Pagar por quiosque</v>
      </c>
    </row>
    <row r="262">
      <c r="A262" s="16" t="s">
        <v>744</v>
      </c>
      <c r="B262" s="9" t="s">
        <v>745</v>
      </c>
      <c r="C262" s="4" t="str">
        <f>IFERROR(__xludf.DUMMYFUNCTION("GOOGLETRANSLATE(B262,""en"",""hi"")"),"कृपया मान्य OTP दर्ज करें")</f>
        <v>कृपया मान्य OTP दर्ज करें</v>
      </c>
      <c r="D262" s="4" t="str">
        <f>IFERROR(__xludf.DUMMYFUNCTION("GOOGLETRANSLATE(B262,""en"",""ar"")"),"الرجاء إدخال كلمة مرور صالحة لمرة واحدة")</f>
        <v>الرجاء إدخال كلمة مرور صالحة لمرة واحدة</v>
      </c>
      <c r="E262" s="4" t="str">
        <f>IFERROR(__xludf.DUMMYFUNCTION("GOOGLETRANSLATE(B262,""en"",""fr"")"),"Veuillez saisir un OTP valide")</f>
        <v>Veuillez saisir un OTP valide</v>
      </c>
      <c r="F262" s="4" t="str">
        <f>IFERROR(__xludf.DUMMYFUNCTION("GOOGLETRANSLATE(B262,""en"",""tr"")"),"Lütfen geçerli bir OTP girin")</f>
        <v>Lütfen geçerli bir OTP girin</v>
      </c>
      <c r="G262" s="4" t="str">
        <f>IFERROR(__xludf.DUMMYFUNCTION("GOOGLETRANSLATE(B262,""en"",""ru"")"),"Пожалуйста, введите действительный одноразовый пароль")</f>
        <v>Пожалуйста, введите действительный одноразовый пароль</v>
      </c>
      <c r="H262" s="4" t="str">
        <f>IFERROR(__xludf.DUMMYFUNCTION("GOOGLETRANSLATE(B262,""en"",""it"")"),"Inserisci un OTP valido")</f>
        <v>Inserisci un OTP valido</v>
      </c>
      <c r="I262" s="4" t="str">
        <f>IFERROR(__xludf.DUMMYFUNCTION("GOOGLETRANSLATE(B262,""en"",""de"")"),"Bitte geben Sie ein gültiges OTP ein")</f>
        <v>Bitte geben Sie ein gültiges OTP ein</v>
      </c>
      <c r="J262" s="4" t="str">
        <f>IFERROR(__xludf.DUMMYFUNCTION("GOOGLETRANSLATE(B262,""en"",""ko"")"),"유효한 OTP를 입력하세요")</f>
        <v>유효한 OTP를 입력하세요</v>
      </c>
      <c r="K262" s="4" t="str">
        <f>IFERROR(__xludf.DUMMYFUNCTION("GOOGLETRANSLATE(B262,""en"",""zh"")"),"请输入有效的 OTP")</f>
        <v>请输入有效的 OTP</v>
      </c>
      <c r="L262" s="4" t="str">
        <f>IFERROR(__xludf.DUMMYFUNCTION("GOOGLETRANSLATE(B262,""en"",""es"")"),"Por favor ingrese un OTP válido")</f>
        <v>Por favor ingrese un OTP válido</v>
      </c>
      <c r="M262" s="4" t="str">
        <f>IFERROR(__xludf.DUMMYFUNCTION("GOOGLETRANSLATE(B262,""en"",""iw"")"),"נא להזין OTP חוקי")</f>
        <v>נא להזין OTP חוקי</v>
      </c>
      <c r="N262" s="4" t="str">
        <f>IFERROR(__xludf.DUMMYFUNCTION("GOOGLETRANSLATE(B262,""en"",""bn"")"),"অনুগ্রহ করে বৈধ ওটিপি লিখুন")</f>
        <v>অনুগ্রহ করে বৈধ ওটিপি লিখুন</v>
      </c>
      <c r="O262" s="4" t="str">
        <f>IFERROR(__xludf.DUMMYFUNCTION("GOOGLETRANSLATE(B262,""en"",""pt"")"),"Por favor, insira um OTP válido")</f>
        <v>Por favor, insira um OTP válido</v>
      </c>
    </row>
    <row r="263">
      <c r="A263" s="16" t="s">
        <v>746</v>
      </c>
      <c r="B263" s="9" t="s">
        <v>747</v>
      </c>
      <c r="C263" s="4" t="str">
        <f>IFERROR(__xludf.DUMMYFUNCTION("GOOGLETRANSLATE(B263,""en"",""hi"")"),"बिल संदर्भ")</f>
        <v>बिल संदर्भ</v>
      </c>
      <c r="D263" s="4" t="str">
        <f>IFERROR(__xludf.DUMMYFUNCTION("GOOGLETRANSLATE(B263,""en"",""ar"")"),"مرجع الفاتورة")</f>
        <v>مرجع الفاتورة</v>
      </c>
      <c r="E263" s="4" t="str">
        <f>IFERROR(__xludf.DUMMYFUNCTION("GOOGLETRANSLATE(B263,""en"",""fr"")"),"Référence du projet de loi")</f>
        <v>Référence du projet de loi</v>
      </c>
      <c r="F263" s="4" t="str">
        <f>IFERROR(__xludf.DUMMYFUNCTION("GOOGLETRANSLATE(B263,""en"",""tr"")"),"Fatura Referansı")</f>
        <v>Fatura Referansı</v>
      </c>
      <c r="G263" s="4" t="str">
        <f>IFERROR(__xludf.DUMMYFUNCTION("GOOGLETRANSLATE(B263,""en"",""ru"")"),"Ссылка на законопроект")</f>
        <v>Ссылка на законопроект</v>
      </c>
      <c r="H263" s="4" t="str">
        <f>IFERROR(__xludf.DUMMYFUNCTION("GOOGLETRANSLATE(B263,""en"",""it"")"),"Riferimento fattura")</f>
        <v>Riferimento fattura</v>
      </c>
      <c r="I263" s="4" t="str">
        <f>IFERROR(__xludf.DUMMYFUNCTION("GOOGLETRANSLATE(B263,""en"",""de"")"),"Rechnungsreferenz")</f>
        <v>Rechnungsreferenz</v>
      </c>
      <c r="J263" s="4" t="str">
        <f>IFERROR(__xludf.DUMMYFUNCTION("GOOGLETRANSLATE(B263,""en"",""ko"")"),"청구서 참조")</f>
        <v>청구서 참조</v>
      </c>
      <c r="K263" s="4" t="str">
        <f>IFERROR(__xludf.DUMMYFUNCTION("GOOGLETRANSLATE(B263,""en"",""zh"")"),"账单参考")</f>
        <v>账单参考</v>
      </c>
      <c r="L263" s="4" t="str">
        <f>IFERROR(__xludf.DUMMYFUNCTION("GOOGLETRANSLATE(B263,""en"",""es"")"),"Referencia de factura")</f>
        <v>Referencia de factura</v>
      </c>
      <c r="M263" s="4" t="str">
        <f>IFERROR(__xludf.DUMMYFUNCTION("GOOGLETRANSLATE(B263,""en"",""iw"")"),"הפניה לחשבון")</f>
        <v>הפניה לחשבון</v>
      </c>
      <c r="N263" s="4" t="str">
        <f>IFERROR(__xludf.DUMMYFUNCTION("GOOGLETRANSLATE(B263,""en"",""bn"")"),"বিল রেফারেন্স")</f>
        <v>বিল রেফারেন্স</v>
      </c>
      <c r="O263" s="4" t="str">
        <f>IFERROR(__xludf.DUMMYFUNCTION("GOOGLETRANSLATE(B263,""en"",""pt"")"),"Referência de fatura")</f>
        <v>Referência de fatura</v>
      </c>
    </row>
    <row r="264">
      <c r="A264" s="7" t="s">
        <v>748</v>
      </c>
      <c r="B264" s="3" t="s">
        <v>749</v>
      </c>
      <c r="C264" s="4" t="str">
        <f>IFERROR(__xludf.DUMMYFUNCTION("GOOGLETRANSLATE(B264,""en"",""hi"")"),"सदस्यता")</f>
        <v>सदस्यता</v>
      </c>
      <c r="D264" s="4" t="str">
        <f>IFERROR(__xludf.DUMMYFUNCTION("GOOGLETRANSLATE(B264,""en"",""ar"")"),"الاشتراكات")</f>
        <v>الاشتراكات</v>
      </c>
      <c r="E264" s="4" t="str">
        <f>IFERROR(__xludf.DUMMYFUNCTION("GOOGLETRANSLATE(B264,""en"",""fr"")"),"Abonnements")</f>
        <v>Abonnements</v>
      </c>
      <c r="F264" s="4" t="str">
        <f>IFERROR(__xludf.DUMMYFUNCTION("GOOGLETRANSLATE(B264,""en"",""tr"")"),"Abonelikler")</f>
        <v>Abonelikler</v>
      </c>
      <c r="G264" s="4" t="str">
        <f>IFERROR(__xludf.DUMMYFUNCTION("GOOGLETRANSLATE(B264,""en"",""ru"")"),"Подписки")</f>
        <v>Подписки</v>
      </c>
      <c r="H264" s="4" t="str">
        <f>IFERROR(__xludf.DUMMYFUNCTION("GOOGLETRANSLATE(B264,""en"",""it"")"),"Abbonamenti")</f>
        <v>Abbonamenti</v>
      </c>
      <c r="I264" s="4" t="str">
        <f>IFERROR(__xludf.DUMMYFUNCTION("GOOGLETRANSLATE(B264,""en"",""de"")"),"Abonnements")</f>
        <v>Abonnements</v>
      </c>
      <c r="J264" s="4" t="str">
        <f>IFERROR(__xludf.DUMMYFUNCTION("GOOGLETRANSLATE(B264,""en"",""ko"")"),"구독")</f>
        <v>구독</v>
      </c>
      <c r="K264" s="4" t="str">
        <f>IFERROR(__xludf.DUMMYFUNCTION("GOOGLETRANSLATE(B264,""en"",""zh"")"),"订阅")</f>
        <v>订阅</v>
      </c>
      <c r="L264" s="4" t="str">
        <f>IFERROR(__xludf.DUMMYFUNCTION("GOOGLETRANSLATE(B264,""en"",""es"")"),"Suscripciones")</f>
        <v>Suscripciones</v>
      </c>
      <c r="M264" s="4" t="str">
        <f>IFERROR(__xludf.DUMMYFUNCTION("GOOGLETRANSLATE(B264,""en"",""iw"")"),"מנויים")</f>
        <v>מנויים</v>
      </c>
      <c r="N264" s="4" t="str">
        <f>IFERROR(__xludf.DUMMYFUNCTION("GOOGLETRANSLATE(B264,""en"",""bn"")"),"সদস্যতা")</f>
        <v>সদস্যতা</v>
      </c>
      <c r="O264" s="4" t="str">
        <f>IFERROR(__xludf.DUMMYFUNCTION("GOOGLETRANSLATE(B264,""en"",""pt"")"),"Assinaturas")</f>
        <v>Assinaturas</v>
      </c>
    </row>
    <row r="265">
      <c r="A265" s="7" t="s">
        <v>750</v>
      </c>
      <c r="B265" s="3" t="s">
        <v>751</v>
      </c>
      <c r="C265" s="4" t="str">
        <f>IFERROR(__xludf.DUMMYFUNCTION("GOOGLETRANSLATE(B265,""en"",""hi"")"),"जारी रखने के लिए एक योजना चुनें")</f>
        <v>जारी रखने के लिए एक योजना चुनें</v>
      </c>
      <c r="D265" s="4" t="str">
        <f>IFERROR(__xludf.DUMMYFUNCTION("GOOGLETRANSLATE(B265,""en"",""ar"")"),"حدد خطة للاستمرار")</f>
        <v>حدد خطة للاستمرار</v>
      </c>
      <c r="E265" s="4" t="str">
        <f>IFERROR(__xludf.DUMMYFUNCTION("GOOGLETRANSLATE(B265,""en"",""fr"")"),"Sélectionnez un plan pour continuer")</f>
        <v>Sélectionnez un plan pour continuer</v>
      </c>
      <c r="F265" s="4" t="str">
        <f>IFERROR(__xludf.DUMMYFUNCTION("GOOGLETRANSLATE(B265,""en"",""tr"")"),"Devam etmek için bir plan seçin")</f>
        <v>Devam etmek için bir plan seçin</v>
      </c>
      <c r="G265" s="4" t="str">
        <f>IFERROR(__xludf.DUMMYFUNCTION("GOOGLETRANSLATE(B265,""en"",""ru"")"),"Выберите план, чтобы продолжить")</f>
        <v>Выберите план, чтобы продолжить</v>
      </c>
      <c r="H265" s="4" t="str">
        <f>IFERROR(__xludf.DUMMYFUNCTION("GOOGLETRANSLATE(B265,""en"",""it"")"),"Seleziona un piano per continuare")</f>
        <v>Seleziona un piano per continuare</v>
      </c>
      <c r="I265" s="4" t="str">
        <f>IFERROR(__xludf.DUMMYFUNCTION("GOOGLETRANSLATE(B265,""en"",""de"")"),"Wählen Sie einen Plan aus, um fortzufahren")</f>
        <v>Wählen Sie einen Plan aus, um fortzufahren</v>
      </c>
      <c r="J265" s="4" t="str">
        <f>IFERROR(__xludf.DUMMYFUNCTION("GOOGLETRANSLATE(B265,""en"",""ko"")"),"계속하려면 계획을 선택하세요")</f>
        <v>계속하려면 계획을 선택하세요</v>
      </c>
      <c r="K265" s="4" t="str">
        <f>IFERROR(__xludf.DUMMYFUNCTION("GOOGLETRANSLATE(B265,""en"",""zh"")"),"选择计划以继续")</f>
        <v>选择计划以继续</v>
      </c>
      <c r="L265" s="4" t="str">
        <f>IFERROR(__xludf.DUMMYFUNCTION("GOOGLETRANSLATE(B265,""en"",""es"")"),"Seleccione un plan para continuar")</f>
        <v>Seleccione un plan para continuar</v>
      </c>
      <c r="M265" s="4" t="str">
        <f>IFERROR(__xludf.DUMMYFUNCTION("GOOGLETRANSLATE(B265,""en"",""iw"")"),"בחר תוכנית להמשך")</f>
        <v>בחר תוכנית להמשך</v>
      </c>
      <c r="N265" s="4" t="str">
        <f>IFERROR(__xludf.DUMMYFUNCTION("GOOGLETRANSLATE(B265,""en"",""bn"")"),"চালিয়ে যাওয়ার জন্য একটি পরিকল্পনা নির্বাচন করুন")</f>
        <v>চালিয়ে যাওয়ার জন্য একটি পরিকল্পনা নির্বাচন করুন</v>
      </c>
      <c r="O265" s="4" t="str">
        <f>IFERROR(__xludf.DUMMYFUNCTION("GOOGLETRANSLATE(B265,""en"",""pt"")"),"Selecione um plano para continuar")</f>
        <v>Selecione um plano para continuar</v>
      </c>
    </row>
    <row r="266">
      <c r="A266" s="7" t="s">
        <v>752</v>
      </c>
      <c r="B266" s="3" t="s">
        <v>753</v>
      </c>
      <c r="C266" s="4" t="str">
        <f>IFERROR(__xludf.DUMMYFUNCTION("GOOGLETRANSLATE(B266,""en"",""hi"")"),"आपके वॉलेट में तत्काल भुगतान")</f>
        <v>आपके वॉलेट में तत्काल भुगतान</v>
      </c>
      <c r="D266" s="4" t="str">
        <f>IFERROR(__xludf.DUMMYFUNCTION("GOOGLETRANSLATE(B266,""en"",""ar"")"),"الدفع الفوري إلى محفظتك")</f>
        <v>الدفع الفوري إلى محفظتك</v>
      </c>
      <c r="E266" s="4" t="str">
        <f>IFERROR(__xludf.DUMMYFUNCTION("GOOGLETRANSLATE(B266,""en"",""fr"")"),"Paiement ponctuel sur votre portefeuille")</f>
        <v>Paiement ponctuel sur votre portefeuille</v>
      </c>
      <c r="F266" s="4" t="str">
        <f>IFERROR(__xludf.DUMMYFUNCTION("GOOGLETRANSLATE(B266,""en"",""tr"")"),"Cüzdanınıza anında ödeme")</f>
        <v>Cüzdanınıza anında ödeme</v>
      </c>
      <c r="G266" s="4" t="str">
        <f>IFERROR(__xludf.DUMMYFUNCTION("GOOGLETRANSLATE(B266,""en"",""ru"")"),"Точечный платеж на ваш кошелек")</f>
        <v>Точечный платеж на ваш кошелек</v>
      </c>
      <c r="H266" s="4" t="str">
        <f>IFERROR(__xludf.DUMMYFUNCTION("GOOGLETRANSLATE(B266,""en"",""it"")"),"Pagamento spot sul tuo portafoglio")</f>
        <v>Pagamento spot sul tuo portafoglio</v>
      </c>
      <c r="I266" s="4" t="str">
        <f>IFERROR(__xludf.DUMMYFUNCTION("GOOGLETRANSLATE(B266,""en"",""de"")"),"Sofortzahlung auf Ihr Wallet")</f>
        <v>Sofortzahlung auf Ihr Wallet</v>
      </c>
      <c r="J266" s="4" t="str">
        <f>IFERROR(__xludf.DUMMYFUNCTION("GOOGLETRANSLATE(B266,""en"",""ko"")"),"지갑으로 즉시 결제")</f>
        <v>지갑으로 즉시 결제</v>
      </c>
      <c r="K266" s="4" t="str">
        <f>IFERROR(__xludf.DUMMYFUNCTION("GOOGLETRANSLATE(B266,""en"",""zh"")"),"即期付款至您的钱包")</f>
        <v>即期付款至您的钱包</v>
      </c>
      <c r="L266" s="4" t="str">
        <f>IFERROR(__xludf.DUMMYFUNCTION("GOOGLETRANSLATE(B266,""en"",""es"")"),"Pago al contado a tu billetera")</f>
        <v>Pago al contado a tu billetera</v>
      </c>
      <c r="M266" s="4" t="str">
        <f>IFERROR(__xludf.DUMMYFUNCTION("GOOGLETRANSLATE(B266,""en"",""iw"")"),"תשלום נקודתי לארנק")</f>
        <v>תשלום נקודתי לארנק</v>
      </c>
      <c r="N266" s="4" t="str">
        <f>IFERROR(__xludf.DUMMYFUNCTION("GOOGLETRANSLATE(B266,""en"",""bn"")"),"আপনার ওয়ালেটে স্পট পেমেন্ট")</f>
        <v>আপনার ওয়ালেটে স্পট পেমেন্ট</v>
      </c>
      <c r="O266" s="4" t="str">
        <f>IFERROR(__xludf.DUMMYFUNCTION("GOOGLETRANSLATE(B266,""en"",""pt"")"),"Pagamento à vista para sua carteira")</f>
        <v>Pagamento à vista para sua carteira</v>
      </c>
    </row>
    <row r="267">
      <c r="A267" s="7" t="s">
        <v>754</v>
      </c>
      <c r="B267" s="9" t="s">
        <v>755</v>
      </c>
      <c r="C267" s="4" t="str">
        <f>IFERROR(__xludf.DUMMYFUNCTION("GOOGLETRANSLATE(B267,""en"",""hi"")"),"पूरी राशि प्राप्त करने के लाभ")</f>
        <v>पूरी राशि प्राप्त करने के लाभ</v>
      </c>
      <c r="D267" s="4" t="str">
        <f>IFERROR(__xludf.DUMMYFUNCTION("GOOGLETRANSLATE(B267,""en"",""ar"")"),"فوائد الحصول على المبلغ كاملا")</f>
        <v>فوائد الحصول على المبلغ كاملا</v>
      </c>
      <c r="E267" s="4" t="str">
        <f>IFERROR(__xludf.DUMMYFUNCTION("GOOGLETRANSLATE(B267,""en"",""fr"")"),"Avantages d'obtenir le montant total")</f>
        <v>Avantages d'obtenir le montant total</v>
      </c>
      <c r="F267" s="4" t="str">
        <f>IFERROR(__xludf.DUMMYFUNCTION("GOOGLETRANSLATE(B267,""en"",""tr"")"),"Tam tutarı almanın faydaları")</f>
        <v>Tam tutarı almanın faydaları</v>
      </c>
      <c r="G267" s="4" t="str">
        <f>IFERROR(__xludf.DUMMYFUNCTION("GOOGLETRANSLATE(B267,""en"",""ru"")"),"Преимущества получения полной суммы")</f>
        <v>Преимущества получения полной суммы</v>
      </c>
      <c r="H267" s="4" t="str">
        <f>IFERROR(__xludf.DUMMYFUNCTION("GOOGLETRANSLATE(B267,""en"",""it"")"),"Vantaggi dell'ottenimento dell'intero importo")</f>
        <v>Vantaggi dell'ottenimento dell'intero importo</v>
      </c>
      <c r="I267" s="4" t="str">
        <f>IFERROR(__xludf.DUMMYFUNCTION("GOOGLETRANSLATE(B267,""en"",""de"")"),"Vorteile des Erhalts des Gesamtbetrags")</f>
        <v>Vorteile des Erhalts des Gesamtbetrags</v>
      </c>
      <c r="J267" s="4" t="str">
        <f>IFERROR(__xludf.DUMMYFUNCTION("GOOGLETRANSLATE(B267,""en"",""ko"")"),"전체 금액을 받는 것의 이점")</f>
        <v>전체 금액을 받는 것의 이점</v>
      </c>
      <c r="K267" s="4" t="str">
        <f>IFERROR(__xludf.DUMMYFUNCTION("GOOGLETRANSLATE(B267,""en"",""zh"")"),"获得全额的好处")</f>
        <v>获得全额的好处</v>
      </c>
      <c r="L267" s="4" t="str">
        <f>IFERROR(__xludf.DUMMYFUNCTION("GOOGLETRANSLATE(B267,""en"",""es"")"),"Beneficios de obtener el monto total")</f>
        <v>Beneficios de obtener el monto total</v>
      </c>
      <c r="M267" s="4" t="str">
        <f>IFERROR(__xludf.DUMMYFUNCTION("GOOGLETRANSLATE(B267,""en"",""iw"")"),"היתרונות של קבלת כמות מלאה")</f>
        <v>היתרונות של קבלת כמות מלאה</v>
      </c>
      <c r="N267" s="4" t="str">
        <f>IFERROR(__xludf.DUMMYFUNCTION("GOOGLETRANSLATE(B267,""en"",""bn"")"),"পুরো পরিমাণ পাওয়ার সুবিধা")</f>
        <v>পুরো পরিমাণ পাওয়ার সুবিধা</v>
      </c>
      <c r="O267" s="4" t="str">
        <f>IFERROR(__xludf.DUMMYFUNCTION("GOOGLETRANSLATE(B267,""en"",""pt"")"),"Benefícios de obter o valor total")</f>
        <v>Benefícios de obter o valor total</v>
      </c>
    </row>
    <row r="268">
      <c r="A268" s="7" t="s">
        <v>756</v>
      </c>
      <c r="B268" s="9" t="s">
        <v>757</v>
      </c>
      <c r="C268" s="4" t="str">
        <f>IFERROR(__xludf.DUMMYFUNCTION("GOOGLETRANSLATE(B268,""en"",""hi"")"),"प्राथमिकता ग्राहक सहायता प्राप्त करें")</f>
        <v>प्राथमिकता ग्राहक सहायता प्राप्त करें</v>
      </c>
      <c r="D268" s="4" t="str">
        <f>IFERROR(__xludf.DUMMYFUNCTION("GOOGLETRANSLATE(B268,""en"",""ar"")"),"احصل على دعم العملاء ذو الأولوية")</f>
        <v>احصل على دعم العملاء ذو الأولوية</v>
      </c>
      <c r="E268" s="4" t="str">
        <f>IFERROR(__xludf.DUMMYFUNCTION("GOOGLETRANSLATE(B268,""en"",""fr"")"),"Bénéficiez d'un support client prioritaire")</f>
        <v>Bénéficiez d'un support client prioritaire</v>
      </c>
      <c r="F268" s="4" t="str">
        <f>IFERROR(__xludf.DUMMYFUNCTION("GOOGLETRANSLATE(B268,""en"",""tr"")"),"Öncelikli müşteri desteği alın")</f>
        <v>Öncelikli müşteri desteği alın</v>
      </c>
      <c r="G268" s="4" t="str">
        <f>IFERROR(__xludf.DUMMYFUNCTION("GOOGLETRANSLATE(B268,""en"",""ru"")"),"Получите приоритетную поддержку клиентов")</f>
        <v>Получите приоритетную поддержку клиентов</v>
      </c>
      <c r="H268" s="4" t="str">
        <f>IFERROR(__xludf.DUMMYFUNCTION("GOOGLETRANSLATE(B268,""en"",""it"")"),"Ottieni assistenza clienti prioritaria")</f>
        <v>Ottieni assistenza clienti prioritaria</v>
      </c>
      <c r="I268" s="4" t="str">
        <f>IFERROR(__xludf.DUMMYFUNCTION("GOOGLETRANSLATE(B268,""en"",""de"")"),"Erhalten Sie vorrangigen Kundensupport")</f>
        <v>Erhalten Sie vorrangigen Kundensupport</v>
      </c>
      <c r="J268" s="4" t="str">
        <f>IFERROR(__xludf.DUMMYFUNCTION("GOOGLETRANSLATE(B268,""en"",""ko"")"),"우선 고객 지원을 받으세요")</f>
        <v>우선 고객 지원을 받으세요</v>
      </c>
      <c r="K268" s="4" t="str">
        <f>IFERROR(__xludf.DUMMYFUNCTION("GOOGLETRANSLATE(B268,""en"",""zh"")"),"获得优先客户支持")</f>
        <v>获得优先客户支持</v>
      </c>
      <c r="L268" s="4" t="str">
        <f>IFERROR(__xludf.DUMMYFUNCTION("GOOGLETRANSLATE(B268,""en"",""es"")"),"Obtenga atención al cliente prioritaria")</f>
        <v>Obtenga atención al cliente prioritaria</v>
      </c>
      <c r="M268" s="4" t="str">
        <f>IFERROR(__xludf.DUMMYFUNCTION("GOOGLETRANSLATE(B268,""en"",""iw"")"),"קבל תמיכת לקוחות בעדיפות")</f>
        <v>קבל תמיכת לקוחות בעדיפות</v>
      </c>
      <c r="N268" s="4" t="str">
        <f>IFERROR(__xludf.DUMMYFUNCTION("GOOGLETRANSLATE(B268,""en"",""bn"")"),"অগ্রাধিকার গ্রাহক সমর্থন পান")</f>
        <v>অগ্রাধিকার গ্রাহক সমর্থন পান</v>
      </c>
      <c r="O268" s="4" t="str">
        <f>IFERROR(__xludf.DUMMYFUNCTION("GOOGLETRANSLATE(B268,""en"",""pt"")"),"Obtenha suporte prioritário ao cliente")</f>
        <v>Obtenha suporte prioritário ao cliente</v>
      </c>
    </row>
    <row r="269">
      <c r="A269" s="7" t="s">
        <v>758</v>
      </c>
      <c r="B269" s="9" t="s">
        <v>759</v>
      </c>
      <c r="C269" s="4" t="str">
        <f>IFERROR(__xludf.DUMMYFUNCTION("GOOGLETRANSLATE(B269,""en"",""hi"")"),"0% कमीशन")</f>
        <v>0% कमीशन</v>
      </c>
      <c r="D269" s="4" t="str">
        <f>IFERROR(__xludf.DUMMYFUNCTION("GOOGLETRANSLATE(B269,""en"",""ar"")"),"عمولة 0%")</f>
        <v>عمولة 0%</v>
      </c>
      <c r="E269" s="4" t="str">
        <f>IFERROR(__xludf.DUMMYFUNCTION("GOOGLETRANSLATE(B269,""en"",""fr"")"),"0% de commission")</f>
        <v>0% de commission</v>
      </c>
      <c r="F269" s="4" t="str">
        <f>IFERROR(__xludf.DUMMYFUNCTION("GOOGLETRANSLATE(B269,""en"",""tr"")"),"%0 komisyon")</f>
        <v>%0 komisyon</v>
      </c>
      <c r="G269" s="4" t="str">
        <f>IFERROR(__xludf.DUMMYFUNCTION("GOOGLETRANSLATE(B269,""en"",""ru"")"),"0% комиссия")</f>
        <v>0% комиссия</v>
      </c>
      <c r="H269" s="4" t="str">
        <f>IFERROR(__xludf.DUMMYFUNCTION("GOOGLETRANSLATE(B269,""en"",""it"")"),"0% di commissione")</f>
        <v>0% di commissione</v>
      </c>
      <c r="I269" s="4" t="str">
        <f>IFERROR(__xludf.DUMMYFUNCTION("GOOGLETRANSLATE(B269,""en"",""de"")"),"0% Provision")</f>
        <v>0% Provision</v>
      </c>
      <c r="J269" s="4" t="str">
        <f>IFERROR(__xludf.DUMMYFUNCTION("GOOGLETRANSLATE(B269,""en"",""ko"")"),"수수료 0%")</f>
        <v>수수료 0%</v>
      </c>
      <c r="K269" s="4" t="str">
        <f>IFERROR(__xludf.DUMMYFUNCTION("GOOGLETRANSLATE(B269,""en"",""zh"")"),"0%佣金")</f>
        <v>0%佣金</v>
      </c>
      <c r="L269" s="4" t="str">
        <f>IFERROR(__xludf.DUMMYFUNCTION("GOOGLETRANSLATE(B269,""en"",""es"")"),"0% de comisión")</f>
        <v>0% de comisión</v>
      </c>
      <c r="M269" s="4" t="str">
        <f>IFERROR(__xludf.DUMMYFUNCTION("GOOGLETRANSLATE(B269,""en"",""iw"")"),"0% עמלה")</f>
        <v>0% עמלה</v>
      </c>
      <c r="N269" s="4" t="str">
        <f>IFERROR(__xludf.DUMMYFUNCTION("GOOGLETRANSLATE(B269,""en"",""bn"")"),"0% কমিশন")</f>
        <v>0% কমিশন</v>
      </c>
      <c r="O269" s="4" t="str">
        <f>IFERROR(__xludf.DUMMYFUNCTION("GOOGLETRANSLATE(B269,""en"",""pt"")"),"0% de comissão")</f>
        <v>0% de comissão</v>
      </c>
    </row>
    <row r="270">
      <c r="A270" s="16" t="s">
        <v>760</v>
      </c>
      <c r="B270" s="3" t="s">
        <v>761</v>
      </c>
      <c r="C270" s="4" t="str">
        <f>IFERROR(__xludf.DUMMYFUNCTION("GOOGLETRANSLATE(B270,""en"",""hi"")"),"आपकी सदस्यता समाप्त हो गई है")</f>
        <v>आपकी सदस्यता समाप्त हो गई है</v>
      </c>
      <c r="D270" s="4" t="str">
        <f>IFERROR(__xludf.DUMMYFUNCTION("GOOGLETRANSLATE(B270,""en"",""ar"")"),"لقد انتهى اشتراكك")</f>
        <v>لقد انتهى اشتراكك</v>
      </c>
      <c r="E270" s="4" t="str">
        <f>IFERROR(__xludf.DUMMYFUNCTION("GOOGLETRANSLATE(B270,""en"",""fr"")"),"Votre abonnement est terminé")</f>
        <v>Votre abonnement est terminé</v>
      </c>
      <c r="F270" s="4" t="str">
        <f>IFERROR(__xludf.DUMMYFUNCTION("GOOGLETRANSLATE(B270,""en"",""tr"")"),"Aboneliğiniz sona erdi")</f>
        <v>Aboneliğiniz sona erdi</v>
      </c>
      <c r="G270" s="4" t="str">
        <f>IFERROR(__xludf.DUMMYFUNCTION("GOOGLETRANSLATE(B270,""en"",""ru"")"),"Ваша подписка окончена")</f>
        <v>Ваша подписка окончена</v>
      </c>
      <c r="H270" s="4" t="str">
        <f>IFERROR(__xludf.DUMMYFUNCTION("GOOGLETRANSLATE(B270,""en"",""it"")"),"Il tuo abbonamento è terminato")</f>
        <v>Il tuo abbonamento è terminato</v>
      </c>
      <c r="I270" s="4" t="str">
        <f>IFERROR(__xludf.DUMMYFUNCTION("GOOGLETRANSLATE(B270,""en"",""de"")"),"Ihr Abonnement ist beendet")</f>
        <v>Ihr Abonnement ist beendet</v>
      </c>
      <c r="J270" s="4" t="str">
        <f>IFERROR(__xludf.DUMMYFUNCTION("GOOGLETRANSLATE(B270,""en"",""ko"")"),"귀하의 구독이 종료되었습니다")</f>
        <v>귀하의 구독이 종료되었습니다</v>
      </c>
      <c r="K270" s="4" t="str">
        <f>IFERROR(__xludf.DUMMYFUNCTION("GOOGLETRANSLATE(B270,""en"",""zh"")"),"您的订阅已结束")</f>
        <v>您的订阅已结束</v>
      </c>
      <c r="L270" s="4" t="str">
        <f>IFERROR(__xludf.DUMMYFUNCTION("GOOGLETRANSLATE(B270,""en"",""es"")"),"Su suscripción ha finalizado")</f>
        <v>Su suscripción ha finalizado</v>
      </c>
      <c r="M270" s="4" t="str">
        <f>IFERROR(__xludf.DUMMYFUNCTION("GOOGLETRANSLATE(B270,""en"",""iw"")"),"המנוי שלך הסתיים")</f>
        <v>המנוי שלך הסתיים</v>
      </c>
      <c r="N270" s="4" t="str">
        <f>IFERROR(__xludf.DUMMYFUNCTION("GOOGLETRANSLATE(B270,""en"",""bn"")"),"আপনার সদস্যতা শেষ হয়েছে")</f>
        <v>আপনার সদস্যতা শেষ হয়েছে</v>
      </c>
      <c r="O270" s="4" t="str">
        <f>IFERROR(__xludf.DUMMYFUNCTION("GOOGLETRANSLATE(B270,""en"",""pt"")"),"Sua assinatura foi encerrada")</f>
        <v>Sua assinatura foi encerrada</v>
      </c>
    </row>
    <row r="271">
      <c r="A271" s="16" t="s">
        <v>762</v>
      </c>
      <c r="B271" s="3" t="s">
        <v>763</v>
      </c>
      <c r="C271" s="4" t="str">
        <f>IFERROR(__xludf.DUMMYFUNCTION("GOOGLETRANSLATE(B271,""en"",""hi"")"),"आपकी सदस्यता समाप्त हो गई है")</f>
        <v>आपकी सदस्यता समाप्त हो गई है</v>
      </c>
      <c r="D271" s="4" t="str">
        <f>IFERROR(__xludf.DUMMYFUNCTION("GOOGLETRANSLATE(B271,""en"",""ar"")"),"لقد انتهى اشتراكك في")</f>
        <v>لقد انتهى اشتراكك في</v>
      </c>
      <c r="E271" s="4" t="str">
        <f>IFERROR(__xludf.DUMMYFUNCTION("GOOGLETRANSLATE(B271,""en"",""fr"")"),"Votre abonnement a pris fin le")</f>
        <v>Votre abonnement a pris fin le</v>
      </c>
      <c r="F271" s="4" t="str">
        <f>IFERROR(__xludf.DUMMYFUNCTION("GOOGLETRANSLATE(B271,""en"",""tr"")"),"Aboneliğiniz şu tarihte sona erdi:")</f>
        <v>Aboneliğiniz şu tarihte sona erdi:</v>
      </c>
      <c r="G271" s="4" t="str">
        <f>IFERROR(__xludf.DUMMYFUNCTION("GOOGLETRANSLATE(B271,""en"",""ru"")"),"Ваша подписка закончилась")</f>
        <v>Ваша подписка закончилась</v>
      </c>
      <c r="H271" s="4" t="str">
        <f>IFERROR(__xludf.DUMMYFUNCTION("GOOGLETRANSLATE(B271,""en"",""it"")"),"Il tuo abbonamento è terminato il")</f>
        <v>Il tuo abbonamento è terminato il</v>
      </c>
      <c r="I271" s="4" t="str">
        <f>IFERROR(__xludf.DUMMYFUNCTION("GOOGLETRANSLATE(B271,""en"",""de"")"),"Ihr Abonnement endete am")</f>
        <v>Ihr Abonnement endete am</v>
      </c>
      <c r="J271" s="4" t="str">
        <f>IFERROR(__xludf.DUMMYFUNCTION("GOOGLETRANSLATE(B271,""en"",""ko"")"),"귀하의 구독은 종료되었습니다.")</f>
        <v>귀하의 구독은 종료되었습니다.</v>
      </c>
      <c r="K271" s="4" t="str">
        <f>IFERROR(__xludf.DUMMYFUNCTION("GOOGLETRANSLATE(B271,""en"",""zh"")"),"您的订阅已于")</f>
        <v>您的订阅已于</v>
      </c>
      <c r="L271" s="4" t="str">
        <f>IFERROR(__xludf.DUMMYFUNCTION("GOOGLETRANSLATE(B271,""en"",""es"")"),"Su suscripción ha finalizado el")</f>
        <v>Su suscripción ha finalizado el</v>
      </c>
      <c r="M271" s="4" t="str">
        <f>IFERROR(__xludf.DUMMYFUNCTION("GOOGLETRANSLATE(B271,""en"",""iw"")"),"המנוי שלך הסתיים ב ")</f>
        <v>המנוי שלך הסתיים ב </v>
      </c>
      <c r="N271" s="4" t="str">
        <f>IFERROR(__xludf.DUMMYFUNCTION("GOOGLETRANSLATE(B271,""en"",""bn"")"),"আপনার সদস্যতা শেষ হয়েছে ")</f>
        <v>আপনার সদস্যতা শেষ হয়েছে </v>
      </c>
      <c r="O271" s="4" t="str">
        <f>IFERROR(__xludf.DUMMYFUNCTION("GOOGLETRANSLATE(B271,""en"",""pt"")"),"Sua assinatura terminou em")</f>
        <v>Sua assinatura terminou em</v>
      </c>
    </row>
    <row r="272">
      <c r="A272" s="17" t="s">
        <v>764</v>
      </c>
      <c r="B272" s="3" t="s">
        <v>765</v>
      </c>
      <c r="C272" s="4" t="str">
        <f>IFERROR(__xludf.DUMMYFUNCTION("GOOGLETRANSLATE(B272,""en"",""hi"")"),"अब खरीदें")</f>
        <v>अब खरीदें</v>
      </c>
      <c r="D272" s="4" t="str">
        <f>IFERROR(__xludf.DUMMYFUNCTION("GOOGLETRANSLATE(B272,""en"",""ar"")"),"اشتري الآن")</f>
        <v>اشتري الآن</v>
      </c>
      <c r="E272" s="4" t="str">
        <f>IFERROR(__xludf.DUMMYFUNCTION("GOOGLETRANSLATE(B272,""en"",""fr"")"),"Achetez maintenant")</f>
        <v>Achetez maintenant</v>
      </c>
      <c r="F272" s="4" t="str">
        <f>IFERROR(__xludf.DUMMYFUNCTION("GOOGLETRANSLATE(B272,""en"",""tr"")"),"Şimdi satın al")</f>
        <v>Şimdi satın al</v>
      </c>
      <c r="G272" s="4" t="str">
        <f>IFERROR(__xludf.DUMMYFUNCTION("GOOGLETRANSLATE(B272,""en"",""ru"")"),"Купить сейчас")</f>
        <v>Купить сейчас</v>
      </c>
      <c r="H272" s="4" t="str">
        <f>IFERROR(__xludf.DUMMYFUNCTION("GOOGLETRANSLATE(B272,""en"",""it"")"),"Acquista ora")</f>
        <v>Acquista ora</v>
      </c>
      <c r="I272" s="4" t="str">
        <f>IFERROR(__xludf.DUMMYFUNCTION("GOOGLETRANSLATE(B272,""en"",""de"")"),"Jetzt kaufen")</f>
        <v>Jetzt kaufen</v>
      </c>
      <c r="J272" s="4" t="str">
        <f>IFERROR(__xludf.DUMMYFUNCTION("GOOGLETRANSLATE(B272,""en"",""ko"")"),"지금 구매하세요")</f>
        <v>지금 구매하세요</v>
      </c>
      <c r="K272" s="4" t="str">
        <f>IFERROR(__xludf.DUMMYFUNCTION("GOOGLETRANSLATE(B272,""en"",""zh"")"),"立即购买")</f>
        <v>立即购买</v>
      </c>
      <c r="L272" s="4" t="str">
        <f>IFERROR(__xludf.DUMMYFUNCTION("GOOGLETRANSLATE(B272,""en"",""es"")"),"Comprar ahora")</f>
        <v>Comprar ahora</v>
      </c>
      <c r="M272" s="4" t="str">
        <f>IFERROR(__xludf.DUMMYFUNCTION("GOOGLETRANSLATE(B272,""en"",""iw"")"),"קנה עכשיו")</f>
        <v>קנה עכשיו</v>
      </c>
      <c r="N272" s="4" t="str">
        <f>IFERROR(__xludf.DUMMYFUNCTION("GOOGLETRANSLATE(B272,""en"",""bn"")"),"এখন কিনুন")</f>
        <v>এখন কিনুন</v>
      </c>
      <c r="O272" s="4" t="str">
        <f>IFERROR(__xludf.DUMMYFUNCTION("GOOGLETRANSLATE(B272,""en"",""pt"")"),"Compre agora")</f>
        <v>Compre agora</v>
      </c>
    </row>
    <row r="273">
      <c r="A273" s="17" t="s">
        <v>766</v>
      </c>
      <c r="B273" s="3" t="s">
        <v>767</v>
      </c>
      <c r="C273" s="4" t="str">
        <f>IFERROR(__xludf.DUMMYFUNCTION("GOOGLETRANSLATE(B273,""en"",""hi"")"),"योजनाएँ ब्राउज़ करें")</f>
        <v>योजनाएँ ब्राउज़ करें</v>
      </c>
      <c r="D273" s="4" t="str">
        <f>IFERROR(__xludf.DUMMYFUNCTION("GOOGLETRANSLATE(B273,""en"",""ar"")"),"تصفح الخطط")</f>
        <v>تصفح الخطط</v>
      </c>
      <c r="E273" s="4" t="str">
        <f>IFERROR(__xludf.DUMMYFUNCTION("GOOGLETRANSLATE(B273,""en"",""fr"")"),"Parcourir les plans")</f>
        <v>Parcourir les plans</v>
      </c>
      <c r="F273" s="4" t="str">
        <f>IFERROR(__xludf.DUMMYFUNCTION("GOOGLETRANSLATE(B273,""en"",""tr"")"),"Planlara Göz Atın")</f>
        <v>Planlara Göz Atın</v>
      </c>
      <c r="G273" s="4" t="str">
        <f>IFERROR(__xludf.DUMMYFUNCTION("GOOGLETRANSLATE(B273,""en"",""ru"")"),"Просмотреть планы")</f>
        <v>Просмотреть планы</v>
      </c>
      <c r="H273" s="4" t="str">
        <f>IFERROR(__xludf.DUMMYFUNCTION("GOOGLETRANSLATE(B273,""en"",""it"")"),"Sfoglia i piani")</f>
        <v>Sfoglia i piani</v>
      </c>
      <c r="I273" s="4" t="str">
        <f>IFERROR(__xludf.DUMMYFUNCTION("GOOGLETRANSLATE(B273,""en"",""de"")"),"Pläne durchsuchen")</f>
        <v>Pläne durchsuchen</v>
      </c>
      <c r="J273" s="4" t="str">
        <f>IFERROR(__xludf.DUMMYFUNCTION("GOOGLETRANSLATE(B273,""en"",""ko"")"),"계획 찾아보기")</f>
        <v>계획 찾아보기</v>
      </c>
      <c r="K273" s="4" t="str">
        <f>IFERROR(__xludf.DUMMYFUNCTION("GOOGLETRANSLATE(B273,""en"",""zh"")"),"浏览计划")</f>
        <v>浏览计划</v>
      </c>
      <c r="L273" s="4" t="str">
        <f>IFERROR(__xludf.DUMMYFUNCTION("GOOGLETRANSLATE(B273,""en"",""es"")"),"Explorar planes")</f>
        <v>Explorar planes</v>
      </c>
      <c r="M273" s="4" t="str">
        <f>IFERROR(__xludf.DUMMYFUNCTION("GOOGLETRANSLATE(B273,""en"",""iw"")"),"עיין בתוכניות")</f>
        <v>עיין בתוכניות</v>
      </c>
      <c r="N273" s="4" t="str">
        <f>IFERROR(__xludf.DUMMYFUNCTION("GOOGLETRANSLATE(B273,""en"",""bn"")"),"প্ল্যান ব্রাউজ করুন")</f>
        <v>প্ল্যান ব্রাউজ করুন</v>
      </c>
      <c r="O273" s="4" t="str">
        <f>IFERROR(__xludf.DUMMYFUNCTION("GOOGLETRANSLATE(B273,""en"",""pt"")"),"Navegar pelos planos")</f>
        <v>Navegar pelos planos</v>
      </c>
    </row>
    <row r="274">
      <c r="A274" s="17" t="s">
        <v>768</v>
      </c>
      <c r="B274" s="3" t="s">
        <v>769</v>
      </c>
      <c r="C274" s="4" t="str">
        <f>IFERROR(__xludf.DUMMYFUNCTION("GOOGLETRANSLATE(B274,""en"",""hi"")"),"मासिक योजना")</f>
        <v>मासिक योजना</v>
      </c>
      <c r="D274" s="4" t="str">
        <f>IFERROR(__xludf.DUMMYFUNCTION("GOOGLETRANSLATE(B274,""en"",""ar"")"),"الخطة الشهرية")</f>
        <v>الخطة الشهرية</v>
      </c>
      <c r="E274" s="4" t="str">
        <f>IFERROR(__xludf.DUMMYFUNCTION("GOOGLETRANSLATE(B274,""en"",""fr"")"),"Forfait mensuel")</f>
        <v>Forfait mensuel</v>
      </c>
      <c r="F274" s="4" t="str">
        <f>IFERROR(__xludf.DUMMYFUNCTION("GOOGLETRANSLATE(B274,""en"",""tr"")"),"Aylık Plan")</f>
        <v>Aylık Plan</v>
      </c>
      <c r="G274" s="4" t="str">
        <f>IFERROR(__xludf.DUMMYFUNCTION("GOOGLETRANSLATE(B274,""en"",""ru"")"),"Ежемесячный план")</f>
        <v>Ежемесячный план</v>
      </c>
      <c r="H274" s="4" t="str">
        <f>IFERROR(__xludf.DUMMYFUNCTION("GOOGLETRANSLATE(B274,""en"",""it"")"),"Piano mensile")</f>
        <v>Piano mensile</v>
      </c>
      <c r="I274" s="4" t="str">
        <f>IFERROR(__xludf.DUMMYFUNCTION("GOOGLETRANSLATE(B274,""en"",""de"")"),"Monatsplan")</f>
        <v>Monatsplan</v>
      </c>
      <c r="J274" s="4" t="str">
        <f>IFERROR(__xludf.DUMMYFUNCTION("GOOGLETRANSLATE(B274,""en"",""ko"")"),"월간 계획")</f>
        <v>월간 계획</v>
      </c>
      <c r="K274" s="4" t="str">
        <f>IFERROR(__xludf.DUMMYFUNCTION("GOOGLETRANSLATE(B274,""en"",""zh"")"),"月度计划")</f>
        <v>月度计划</v>
      </c>
      <c r="L274" s="4" t="str">
        <f>IFERROR(__xludf.DUMMYFUNCTION("GOOGLETRANSLATE(B274,""en"",""es"")"),"Plan mensual")</f>
        <v>Plan mensual</v>
      </c>
      <c r="M274" s="4" t="str">
        <f>IFERROR(__xludf.DUMMYFUNCTION("GOOGLETRANSLATE(B274,""en"",""iw"")"),"תוכנית חודשית")</f>
        <v>תוכנית חודשית</v>
      </c>
      <c r="N274" s="4" t="str">
        <f>IFERROR(__xludf.DUMMYFUNCTION("GOOGLETRANSLATE(B274,""en"",""bn"")"),"মাসিক পরিকল্পনা")</f>
        <v>মাসিক পরিকল্পনা</v>
      </c>
      <c r="O274" s="4" t="str">
        <f>IFERROR(__xludf.DUMMYFUNCTION("GOOGLETRANSLATE(B274,""en"",""pt"")"),"Plano Mensal")</f>
        <v>Plano Mensal</v>
      </c>
    </row>
    <row r="275">
      <c r="A275" s="16" t="s">
        <v>770</v>
      </c>
      <c r="B275" s="9" t="s">
        <v>771</v>
      </c>
      <c r="C275" s="4" t="str">
        <f>IFERROR(__xludf.DUMMYFUNCTION("GOOGLETRANSLATE(B275,""en"",""hi"")"),"वार्षिक योजना")</f>
        <v>वार्षिक योजना</v>
      </c>
      <c r="D275" s="4" t="str">
        <f>IFERROR(__xludf.DUMMYFUNCTION("GOOGLETRANSLATE(B275,""en"",""ar"")"),"الخطة السنوية")</f>
        <v>الخطة السنوية</v>
      </c>
      <c r="E275" s="4" t="str">
        <f>IFERROR(__xludf.DUMMYFUNCTION("GOOGLETRANSLATE(B275,""en"",""fr"")"),"Plan annuel")</f>
        <v>Plan annuel</v>
      </c>
      <c r="F275" s="4" t="str">
        <f>IFERROR(__xludf.DUMMYFUNCTION("GOOGLETRANSLATE(B275,""en"",""tr"")"),"Yıllık Plan")</f>
        <v>Yıllık Plan</v>
      </c>
      <c r="G275" s="4" t="str">
        <f>IFERROR(__xludf.DUMMYFUNCTION("GOOGLETRANSLATE(B275,""en"",""ru"")"),"Годовой план")</f>
        <v>Годовой план</v>
      </c>
      <c r="H275" s="4" t="str">
        <f>IFERROR(__xludf.DUMMYFUNCTION("GOOGLETRANSLATE(B275,""en"",""it"")"),"Piano annuale")</f>
        <v>Piano annuale</v>
      </c>
      <c r="I275" s="4" t="str">
        <f>IFERROR(__xludf.DUMMYFUNCTION("GOOGLETRANSLATE(B275,""en"",""de"")"),"Jahresplan")</f>
        <v>Jahresplan</v>
      </c>
      <c r="J275" s="4" t="str">
        <f>IFERROR(__xludf.DUMMYFUNCTION("GOOGLETRANSLATE(B275,""en"",""ko"")"),"연간 계획")</f>
        <v>연간 계획</v>
      </c>
      <c r="K275" s="4" t="str">
        <f>IFERROR(__xludf.DUMMYFUNCTION("GOOGLETRANSLATE(B275,""en"",""zh"")"),"年度计划")</f>
        <v>年度计划</v>
      </c>
      <c r="L275" s="4" t="str">
        <f>IFERROR(__xludf.DUMMYFUNCTION("GOOGLETRANSLATE(B275,""en"",""es"")"),"Plan Anual")</f>
        <v>Plan Anual</v>
      </c>
      <c r="M275" s="4" t="str">
        <f>IFERROR(__xludf.DUMMYFUNCTION("GOOGLETRANSLATE(B275,""en"",""iw"")"),"תוכנית שנתית")</f>
        <v>תוכנית שנתית</v>
      </c>
      <c r="N275" s="4" t="str">
        <f>IFERROR(__xludf.DUMMYFUNCTION("GOOGLETRANSLATE(B275,""en"",""bn"")"),"বার্ষিক পরিকল্পনা")</f>
        <v>বার্ষিক পরিকল্পনা</v>
      </c>
      <c r="O275" s="4" t="str">
        <f>IFERROR(__xludf.DUMMYFUNCTION("GOOGLETRANSLATE(B275,""en"",""pt"")"),"Plano Anual")</f>
        <v>Plano Anual</v>
      </c>
    </row>
    <row r="276">
      <c r="A276" s="7" t="s">
        <v>772</v>
      </c>
      <c r="B276" s="9" t="s">
        <v>773</v>
      </c>
      <c r="C276" s="4" t="str">
        <f>IFERROR(__xludf.DUMMYFUNCTION("GOOGLETRANSLATE(B276,""en"",""hi"")"),"सवारी निर्धारित समय पर")</f>
        <v>सवारी निर्धारित समय पर</v>
      </c>
      <c r="D276" s="4" t="str">
        <f>IFERROR(__xludf.DUMMYFUNCTION("GOOGLETRANSLATE(B276,""en"",""ar"")"),"تم جدولة الرحلة في")</f>
        <v>تم جدولة الرحلة في</v>
      </c>
      <c r="E276" s="4" t="str">
        <f>IFERROR(__xludf.DUMMYFUNCTION("GOOGLETRANSLATE(B276,""en"",""fr"")"),"Balade prévue à")</f>
        <v>Balade prévue à</v>
      </c>
      <c r="F276" s="4" t="str">
        <f>IFERROR(__xludf.DUMMYFUNCTION("GOOGLETRANSLATE(B276,""en"",""tr"")"),"Yolculuk Planlandı")</f>
        <v>Yolculuk Planlandı</v>
      </c>
      <c r="G276" s="4" t="str">
        <f>IFERROR(__xludf.DUMMYFUNCTION("GOOGLETRANSLATE(B276,""en"",""ru"")"),"Поездка запланирована на")</f>
        <v>Поездка запланирована на</v>
      </c>
      <c r="H276" s="4" t="str">
        <f>IFERROR(__xludf.DUMMYFUNCTION("GOOGLETRANSLATE(B276,""en"",""it"")"),"Corsa programmata alle")</f>
        <v>Corsa programmata alle</v>
      </c>
      <c r="I276" s="4" t="str">
        <f>IFERROR(__xludf.DUMMYFUNCTION("GOOGLETRANSLATE(B276,""en"",""de"")"),"Fahrt geplant um")</f>
        <v>Fahrt geplant um</v>
      </c>
      <c r="J276" s="4" t="str">
        <f>IFERROR(__xludf.DUMMYFUNCTION("GOOGLETRANSLATE(B276,""en"",""ko"")"),"예정된 라이드")</f>
        <v>예정된 라이드</v>
      </c>
      <c r="K276" s="4" t="str">
        <f>IFERROR(__xludf.DUMMYFUNCTION("GOOGLETRANSLATE(B276,""en"",""zh"")"),"行程预计于")</f>
        <v>行程预计于</v>
      </c>
      <c r="L276" s="4" t="str">
        <f>IFERROR(__xludf.DUMMYFUNCTION("GOOGLETRANSLATE(B276,""en"",""es"")"),"Viaje programado a las")</f>
        <v>Viaje programado a las</v>
      </c>
      <c r="M276" s="4" t="str">
        <f>IFERROR(__xludf.DUMMYFUNCTION("GOOGLETRANSLATE(B276,""en"",""iw"")"),"נסיעה מתוכננת בשעה")</f>
        <v>נסיעה מתוכננת בשעה</v>
      </c>
      <c r="N276" s="4" t="str">
        <f>IFERROR(__xludf.DUMMYFUNCTION("GOOGLETRANSLATE(B276,""en"",""bn"")"),"রাইড নির্ধারিত সময়ে")</f>
        <v>রাইড নির্ধারিত সময়ে</v>
      </c>
      <c r="O276" s="4" t="str">
        <f>IFERROR(__xludf.DUMMYFUNCTION("GOOGLETRANSLATE(B276,""en"",""pt"")"),"Passeio agendado para")</f>
        <v>Passeio agendado para</v>
      </c>
    </row>
    <row r="277">
      <c r="A277" s="7" t="s">
        <v>774</v>
      </c>
      <c r="B277" s="9" t="s">
        <v>775</v>
      </c>
      <c r="C277" s="4" t="str">
        <f>IFERROR(__xludf.DUMMYFUNCTION("GOOGLETRANSLATE(B277,""en"",""hi"")"),"सवारी रद्द करें")</f>
        <v>सवारी रद्द करें</v>
      </c>
      <c r="D277" s="4" t="str">
        <f>IFERROR(__xludf.DUMMYFUNCTION("GOOGLETRANSLATE(B277,""en"",""ar"")"),"إلغاء الرحلة")</f>
        <v>إلغاء الرحلة</v>
      </c>
      <c r="E277" s="4" t="str">
        <f>IFERROR(__xludf.DUMMYFUNCTION("GOOGLETRANSLATE(B277,""en"",""fr"")"),"Annuler le trajet")</f>
        <v>Annuler le trajet</v>
      </c>
      <c r="F277" s="4" t="str">
        <f>IFERROR(__xludf.DUMMYFUNCTION("GOOGLETRANSLATE(B277,""en"",""tr"")"),"Yolculuğu İptal Et")</f>
        <v>Yolculuğu İptal Et</v>
      </c>
      <c r="G277" s="4" t="str">
        <f>IFERROR(__xludf.DUMMYFUNCTION("GOOGLETRANSLATE(B277,""en"",""ru"")"),"Отменить поездку")</f>
        <v>Отменить поездку</v>
      </c>
      <c r="H277" s="4" t="str">
        <f>IFERROR(__xludf.DUMMYFUNCTION("GOOGLETRANSLATE(B277,""en"",""it"")"),"Annulla corsa")</f>
        <v>Annulla corsa</v>
      </c>
      <c r="I277" s="4" t="str">
        <f>IFERROR(__xludf.DUMMYFUNCTION("GOOGLETRANSLATE(B277,""en"",""de"")"),"Fahrt abbrechen")</f>
        <v>Fahrt abbrechen</v>
      </c>
      <c r="J277" s="4" t="str">
        <f>IFERROR(__xludf.DUMMYFUNCTION("GOOGLETRANSLATE(B277,""en"",""ko"")"),"승차 취소")</f>
        <v>승차 취소</v>
      </c>
      <c r="K277" s="4" t="str">
        <f>IFERROR(__xludf.DUMMYFUNCTION("GOOGLETRANSLATE(B277,""en"",""zh"")"),"取消行程")</f>
        <v>取消行程</v>
      </c>
      <c r="L277" s="4" t="str">
        <f>IFERROR(__xludf.DUMMYFUNCTION("GOOGLETRANSLATE(B277,""en"",""es"")"),"Cancelar viaje")</f>
        <v>Cancelar viaje</v>
      </c>
      <c r="M277" s="4" t="str">
        <f>IFERROR(__xludf.DUMMYFUNCTION("GOOGLETRANSLATE(B277,""en"",""iw"")"),"בטל את הנסיעה")</f>
        <v>בטל את הנסיעה</v>
      </c>
      <c r="N277" s="4" t="str">
        <f>IFERROR(__xludf.DUMMYFUNCTION("GOOGLETRANSLATE(B277,""en"",""bn"")"),"রাইড বাতিল করুন")</f>
        <v>রাইড বাতিল করুন</v>
      </c>
      <c r="O277" s="4" t="str">
        <f>IFERROR(__xludf.DUMMYFUNCTION("GOOGLETRANSLATE(B277,""en"",""pt"")"),"Cancelar viagem")</f>
        <v>Cancelar viagem</v>
      </c>
    </row>
    <row r="278">
      <c r="A278" s="7" t="s">
        <v>776</v>
      </c>
      <c r="B278" s="18" t="s">
        <v>777</v>
      </c>
      <c r="C278" s="4" t="str">
        <f>IFERROR(__xludf.DUMMYFUNCTION("GOOGLETRANSLATE(B278,""en"",""hi"")"),"राइड्स प्राप्त करना जारी रखने के लिए किसी योजना की सदस्यता लें")</f>
        <v>राइड्स प्राप्त करना जारी रखने के लिए किसी योजना की सदस्यता लें</v>
      </c>
      <c r="D278" s="4" t="str">
        <f>IFERROR(__xludf.DUMMYFUNCTION("GOOGLETRANSLATE(B278,""en"",""ar"")"),"اشترك في خطة للاستمرار في الحصول على الرحلات")</f>
        <v>اشترك في خطة للاستمرار في الحصول على الرحلات</v>
      </c>
      <c r="E278" s="4" t="str">
        <f>IFERROR(__xludf.DUMMYFUNCTION("GOOGLETRANSLATE(B278,""en"",""fr"")"),"Souscrivez à un forfait pour continuer à obtenir des trajets")</f>
        <v>Souscrivez à un forfait pour continuer à obtenir des trajets</v>
      </c>
      <c r="F278" s="4" t="str">
        <f>IFERROR(__xludf.DUMMYFUNCTION("GOOGLETRANSLATE(B278,""en"",""tr"")"),"Yolculuklara devam etmek için bir plana abone olun")</f>
        <v>Yolculuklara devam etmek için bir plana abone olun</v>
      </c>
      <c r="G278" s="4" t="str">
        <f>IFERROR(__xludf.DUMMYFUNCTION("GOOGLETRANSLATE(B278,""en"",""ru"")"),"Оформите план, чтобы продолжить получать поездки")</f>
        <v>Оформите план, чтобы продолжить получать поездки</v>
      </c>
      <c r="H278" s="4" t="str">
        <f>IFERROR(__xludf.DUMMYFUNCTION("GOOGLETRANSLATE(B278,""en"",""it"")"),"Sottoscrivi un piano per continuare a ricevere corse")</f>
        <v>Sottoscrivi un piano per continuare a ricevere corse</v>
      </c>
      <c r="I278" s="4" t="str">
        <f>IFERROR(__xludf.DUMMYFUNCTION("GOOGLETRANSLATE(B278,""en"",""de"")"),"Abonnieren Sie einen Plan, um weiterhin Fahrten zu erhalten")</f>
        <v>Abonnieren Sie einen Plan, um weiterhin Fahrten zu erhalten</v>
      </c>
      <c r="J278" s="4" t="str">
        <f>IFERROR(__xludf.DUMMYFUNCTION("GOOGLETRANSLATE(B278,""en"",""ko"")"),"계속해서 승차를 받으려면 플랜을 구독하세요")</f>
        <v>계속해서 승차를 받으려면 플랜을 구독하세요</v>
      </c>
      <c r="K278" s="4" t="str">
        <f>IFERROR(__xludf.DUMMYFUNCTION("GOOGLETRANSLATE(B278,""en"",""zh"")"),"订阅计划以继续乘车")</f>
        <v>订阅计划以继续乘车</v>
      </c>
      <c r="L278" s="4" t="str">
        <f>IFERROR(__xludf.DUMMYFUNCTION("GOOGLETRANSLATE(B278,""en"",""es"")"),"Suscríbete a un plan para seguir recibiendo viajes")</f>
        <v>Suscríbete a un plan para seguir recibiendo viajes</v>
      </c>
      <c r="M278" s="4" t="str">
        <f>IFERROR(__xludf.DUMMYFUNCTION("GOOGLETRANSLATE(B278,""en"",""iw"")"),"הירשם לתוכנית כדי להמשיך לקבל נסיעות")</f>
        <v>הירשם לתוכנית כדי להמשיך לקבל נסיעות</v>
      </c>
      <c r="N278" s="4" t="str">
        <f>IFERROR(__xludf.DUMMYFUNCTION("GOOGLETRANSLATE(B278,""en"",""bn"")"),"রাইডগুলি চালিয়ে যেতে একটি পরিকল্পনা সাবস্ক্রাইব করুন")</f>
        <v>রাইডগুলি চালিয়ে যেতে একটি পরিকল্পনা সাবস্ক্রাইব করুন</v>
      </c>
      <c r="O278" s="4" t="str">
        <f>IFERROR(__xludf.DUMMYFUNCTION("GOOGLETRANSLATE(B278,""en"",""pt"")"),"Assine um plano para continuar recebendo viagens")</f>
        <v>Assine um plano para continuar recebendo viagens</v>
      </c>
    </row>
    <row r="279">
      <c r="A279" s="7" t="s">
        <v>778</v>
      </c>
      <c r="B279" s="3" t="s">
        <v>779</v>
      </c>
      <c r="C279" s="4" t="str">
        <f>IFERROR(__xludf.DUMMYFUNCTION("GOOGLETRANSLATE(B279,""en"",""hi"")"),"शिकायत करें")</f>
        <v>शिकायत करें</v>
      </c>
      <c r="D279" s="4" t="str">
        <f>IFERROR(__xludf.DUMMYFUNCTION("GOOGLETRANSLATE(B279,""en"",""ar"")"),"تقديم شكوى")</f>
        <v>تقديم شكوى</v>
      </c>
      <c r="E279" s="4" t="str">
        <f>IFERROR(__xludf.DUMMYFUNCTION("GOOGLETRANSLATE(B279,""en"",""fr"")"),"Déposer une plainte")</f>
        <v>Déposer une plainte</v>
      </c>
      <c r="F279" s="4" t="str">
        <f>IFERROR(__xludf.DUMMYFUNCTION("GOOGLETRANSLATE(B279,""en"",""tr"")"),"Şikayette Bulunun")</f>
        <v>Şikayette Bulunun</v>
      </c>
      <c r="G279" s="4" t="str">
        <f>IFERROR(__xludf.DUMMYFUNCTION("GOOGLETRANSLATE(B279,""en"",""ru"")"),"Подать жалобу")</f>
        <v>Подать жалобу</v>
      </c>
      <c r="H279" s="4" t="str">
        <f>IFERROR(__xludf.DUMMYFUNCTION("GOOGLETRANSLATE(B279,""en"",""it"")"),"Presentare un reclamo")</f>
        <v>Presentare un reclamo</v>
      </c>
      <c r="I279" s="4" t="str">
        <f>IFERROR(__xludf.DUMMYFUNCTION("GOOGLETRANSLATE(B279,""en"",""de"")"),"Beschwerde einreichen")</f>
        <v>Beschwerde einreichen</v>
      </c>
      <c r="J279" s="4" t="str">
        <f>IFERROR(__xludf.DUMMYFUNCTION("GOOGLETRANSLATE(B279,""en"",""ko"")"),"불만을 제기하다")</f>
        <v>불만을 제기하다</v>
      </c>
      <c r="K279" s="4" t="str">
        <f>IFERROR(__xludf.DUMMYFUNCTION("GOOGLETRANSLATE(B279,""en"",""zh"")"),"提出投诉")</f>
        <v>提出投诉</v>
      </c>
      <c r="L279" s="4" t="str">
        <f>IFERROR(__xludf.DUMMYFUNCTION("GOOGLETRANSLATE(B279,""en"",""es"")"),"Presentar una queja")</f>
        <v>Presentar una queja</v>
      </c>
      <c r="M279" s="4" t="str">
        <f>IFERROR(__xludf.DUMMYFUNCTION("GOOGLETRANSLATE(B279,""en"",""iw"")"),"תגיש תלונה")</f>
        <v>תגיש תלונה</v>
      </c>
      <c r="N279" s="4" t="str">
        <f>IFERROR(__xludf.DUMMYFUNCTION("GOOGLETRANSLATE(B279,""en"",""bn"")"),"অভিযোগ করুন")</f>
        <v>অভিযোগ করুন</v>
      </c>
      <c r="O279" s="4" t="str">
        <f>IFERROR(__xludf.DUMMYFUNCTION("GOOGLETRANSLATE(B279,""en"",""pt"")"),"Fazer reclamação")</f>
        <v>Fazer reclamação</v>
      </c>
    </row>
    <row r="280">
      <c r="A280" s="7" t="s">
        <v>780</v>
      </c>
      <c r="B280" s="9" t="s">
        <v>781</v>
      </c>
      <c r="C280" s="4" t="str">
        <f>IFERROR(__xludf.DUMMYFUNCTION("GOOGLETRANSLATE(B280,""en"",""hi"")"),"प्रकार चुनने के लिए नीचे क्लिक करें")</f>
        <v>प्रकार चुनने के लिए नीचे क्लिक करें</v>
      </c>
      <c r="D280" s="4" t="str">
        <f>IFERROR(__xludf.DUMMYFUNCTION("GOOGLETRANSLATE(B280,""en"",""ar"")"),"انقر أدناه لاختيار النوع")</f>
        <v>انقر أدناه لاختيار النوع</v>
      </c>
      <c r="E280" s="4" t="str">
        <f>IFERROR(__xludf.DUMMYFUNCTION("GOOGLETRANSLATE(B280,""en"",""fr"")"),"Cliquez ci-dessous pour choisir le type")</f>
        <v>Cliquez ci-dessous pour choisir le type</v>
      </c>
      <c r="F280" s="4" t="str">
        <f>IFERROR(__xludf.DUMMYFUNCTION("GOOGLETRANSLATE(B280,""en"",""tr"")"),"Türünü Seçmek İçin Aşağıya Tıklayın")</f>
        <v>Türünü Seçmek İçin Aşağıya Tıklayın</v>
      </c>
      <c r="G280" s="4" t="str">
        <f>IFERROR(__xludf.DUMMYFUNCTION("GOOGLETRANSLATE(B280,""en"",""ru"")"),"Нажмите ниже, чтобы выбрать тип")</f>
        <v>Нажмите ниже, чтобы выбрать тип</v>
      </c>
      <c r="H280" s="4" t="str">
        <f>IFERROR(__xludf.DUMMYFUNCTION("GOOGLETRANSLATE(B280,""en"",""it"")"),"Clicca qui sotto per scegliere il tipo")</f>
        <v>Clicca qui sotto per scegliere il tipo</v>
      </c>
      <c r="I280" s="4" t="str">
        <f>IFERROR(__xludf.DUMMYFUNCTION("GOOGLETRANSLATE(B280,""en"",""de"")"),"Klicken Sie unten, um den Typ auszuwählen")</f>
        <v>Klicken Sie unten, um den Typ auszuwählen</v>
      </c>
      <c r="J280" s="4" t="str">
        <f>IFERROR(__xludf.DUMMYFUNCTION("GOOGLETRANSLATE(B280,""en"",""ko"")"),"아래를 클릭하여 유형을 선택하세요")</f>
        <v>아래를 클릭하여 유형을 선택하세요</v>
      </c>
      <c r="K280" s="4" t="str">
        <f>IFERROR(__xludf.DUMMYFUNCTION("GOOGLETRANSLATE(B280,""en"",""zh"")"),"点击下方选择类型")</f>
        <v>点击下方选择类型</v>
      </c>
      <c r="L280" s="4" t="str">
        <f>IFERROR(__xludf.DUMMYFUNCTION("GOOGLETRANSLATE(B280,""en"",""es"")"),"Haga clic a continuación para elegir el tipo")</f>
        <v>Haga clic a continuación para elegir el tipo</v>
      </c>
      <c r="M280" s="4" t="str">
        <f>IFERROR(__xludf.DUMMYFUNCTION("GOOGLETRANSLATE(B280,""en"",""iw"")"),"לחץ למטה כדי לבחור סוג")</f>
        <v>לחץ למטה כדי לבחור סוג</v>
      </c>
      <c r="N280" s="4" t="str">
        <f>IFERROR(__xludf.DUMMYFUNCTION("GOOGLETRANSLATE(B280,""en"",""bn"")"),"টাইপ চয়ন করতে নীচে ক্লিক করুন")</f>
        <v>টাইপ চয়ন করতে নীচে ক্লিক করুন</v>
      </c>
      <c r="O280" s="4" t="str">
        <f>IFERROR(__xludf.DUMMYFUNCTION("GOOGLETRANSLATE(B280,""en"",""pt"")"),"Clique abaixo para escolher o tipo")</f>
        <v>Clique abaixo para escolher o tipo</v>
      </c>
    </row>
    <row r="281">
      <c r="A281" s="7" t="s">
        <v>782</v>
      </c>
      <c r="B281" s="9" t="s">
        <v>783</v>
      </c>
      <c r="C281" s="4" t="str">
        <f>IFERROR(__xludf.DUMMYFUNCTION("GOOGLETRANSLATE(B281,""en"",""hi"")"),"अपनी शिकायत यहां लिखें")</f>
        <v>अपनी शिकायत यहां लिखें</v>
      </c>
      <c r="D281" s="4" t="str">
        <f>IFERROR(__xludf.DUMMYFUNCTION("GOOGLETRANSLATE(B281,""en"",""ar"")"),"اكتب شكواك هنا")</f>
        <v>اكتب شكواك هنا</v>
      </c>
      <c r="E281" s="4" t="str">
        <f>IFERROR(__xludf.DUMMYFUNCTION("GOOGLETRANSLATE(B281,""en"",""fr"")"),"Écrivez votre plainte ici")</f>
        <v>Écrivez votre plainte ici</v>
      </c>
      <c r="F281" s="4" t="str">
        <f>IFERROR(__xludf.DUMMYFUNCTION("GOOGLETRANSLATE(B281,""en"",""tr"")"),"Şikayetinizi buraya yazın")</f>
        <v>Şikayetinizi buraya yazın</v>
      </c>
      <c r="G281" s="4" t="str">
        <f>IFERROR(__xludf.DUMMYFUNCTION("GOOGLETRANSLATE(B281,""en"",""ru"")"),"Напишите вашу жалобу здесь")</f>
        <v>Напишите вашу жалобу здесь</v>
      </c>
      <c r="H281" s="4" t="str">
        <f>IFERROR(__xludf.DUMMYFUNCTION("GOOGLETRANSLATE(B281,""en"",""it"")"),"Scrivi qui il tuo reclamo")</f>
        <v>Scrivi qui il tuo reclamo</v>
      </c>
      <c r="I281" s="4" t="str">
        <f>IFERROR(__xludf.DUMMYFUNCTION("GOOGLETRANSLATE(B281,""en"",""de"")"),"Schreiben Sie hier Ihre Beschwerde")</f>
        <v>Schreiben Sie hier Ihre Beschwerde</v>
      </c>
      <c r="J281" s="4" t="str">
        <f>IFERROR(__xludf.DUMMYFUNCTION("GOOGLETRANSLATE(B281,""en"",""ko"")"),"여기에 불만 사항을 적어주세요")</f>
        <v>여기에 불만 사항을 적어주세요</v>
      </c>
      <c r="K281" s="4" t="str">
        <f>IFERROR(__xludf.DUMMYFUNCTION("GOOGLETRANSLATE(B281,""en"",""zh"")"),"在这里写下您的投诉")</f>
        <v>在这里写下您的投诉</v>
      </c>
      <c r="L281" s="4" t="str">
        <f>IFERROR(__xludf.DUMMYFUNCTION("GOOGLETRANSLATE(B281,""en"",""es"")"),"Escribe tu queja aquí")</f>
        <v>Escribe tu queja aquí</v>
      </c>
      <c r="M281" s="4" t="str">
        <f>IFERROR(__xludf.DUMMYFUNCTION("GOOGLETRANSLATE(B281,""en"",""iw"")"),"כתוב את תלונתך כאן")</f>
        <v>כתוב את תלונתך כאן</v>
      </c>
      <c r="N281" s="4" t="str">
        <f>IFERROR(__xludf.DUMMYFUNCTION("GOOGLETRANSLATE(B281,""en"",""bn"")"),"এখানে আপনার অভিযোগ লিখুন")</f>
        <v>এখানে আপনার অভিযোগ লিখুন</v>
      </c>
      <c r="O281" s="4" t="str">
        <f>IFERROR(__xludf.DUMMYFUNCTION("GOOGLETRANSLATE(B281,""en"",""pt"")"),"Escreva sua reclamação aqui")</f>
        <v>Escreva sua reclamação aqui</v>
      </c>
    </row>
    <row r="282">
      <c r="A282" s="7" t="s">
        <v>784</v>
      </c>
      <c r="B282" s="3" t="s">
        <v>785</v>
      </c>
      <c r="C282" s="4" t="str">
        <f>IFERROR(__xludf.DUMMYFUNCTION("GOOGLETRANSLATE(B282,""en"",""hi"")"),"हमने आपकी चिंता का सफलतापूर्वक समाधान कर लिया है...")</f>
        <v>हमने आपकी चिंता का सफलतापूर्वक समाधान कर लिया है...</v>
      </c>
      <c r="D282" s="4" t="str">
        <f>IFERROR(__xludf.DUMMYFUNCTION("GOOGLETRANSLATE(B282,""en"",""ar"")"),"لقد نجحنا في الحصول على اهتمامك ...")</f>
        <v>لقد نجحنا في الحصول على اهتمامك ...</v>
      </c>
      <c r="E282" s="4" t="str">
        <f>IFERROR(__xludf.DUMMYFUNCTION("GOOGLETRANSLATE(B282,""en"",""fr"")"),"Nous avons bien reçu votre demande...")</f>
        <v>Nous avons bien reçu votre demande...</v>
      </c>
      <c r="F282" s="4" t="str">
        <f>IFERROR(__xludf.DUMMYFUNCTION("GOOGLETRANSLATE(B282,""en"",""tr"")"),"Endişenizi Başarıyla Aldık...")</f>
        <v>Endişenizi Başarıyla Aldık...</v>
      </c>
      <c r="G282" s="4" t="str">
        <f>IFERROR(__xludf.DUMMYFUNCTION("GOOGLETRANSLATE(B282,""en"",""ru"")"),"Мы успешно решили вашу проблему...")</f>
        <v>Мы успешно решили вашу проблему...</v>
      </c>
      <c r="H282" s="4" t="str">
        <f>IFERROR(__xludf.DUMMYFUNCTION("GOOGLETRANSLATE(B282,""en"",""it"")"),"Abbiamo risolto con successo la tua preoccupazione...")</f>
        <v>Abbiamo risolto con successo la tua preoccupazione...</v>
      </c>
      <c r="I282" s="4" t="str">
        <f>IFERROR(__xludf.DUMMYFUNCTION("GOOGLETRANSLATE(B282,""en"",""de"")"),"Wir haben Ihr Anliegen erfolgreich erhalten ...")</f>
        <v>Wir haben Ihr Anliegen erfolgreich erhalten ...</v>
      </c>
      <c r="J282" s="4" t="str">
        <f>IFERROR(__xludf.DUMMYFUNCTION("GOOGLETRANSLATE(B282,""en"",""ko"")"),"귀하의 우려 사항을 성공적으로 접수했습니다.")</f>
        <v>귀하의 우려 사항을 성공적으로 접수했습니다.</v>
      </c>
      <c r="K282" s="4" t="str">
        <f>IFERROR(__xludf.DUMMYFUNCTION("GOOGLETRANSLATE(B282,""en"",""zh"")"),"我们成功获得您的关注...")</f>
        <v>我们成功获得您的关注...</v>
      </c>
      <c r="L282" s="4" t="str">
        <f>IFERROR(__xludf.DUMMYFUNCTION("GOOGLETRANSLATE(B282,""en"",""es"")"),"Hemos conseguido resolver su inquietud con éxito...")</f>
        <v>Hemos conseguido resolver su inquietud con éxito...</v>
      </c>
      <c r="M282" s="4" t="str">
        <f>IFERROR(__xludf.DUMMYFUNCTION("GOOGLETRANSLATE(B282,""en"",""iw"")"),"הגענו לדאגה שלך בהצלחה...")</f>
        <v>הגענו לדאגה שלך בהצלחה...</v>
      </c>
      <c r="N282" s="4" t="str">
        <f>IFERROR(__xludf.DUMMYFUNCTION("GOOGLETRANSLATE(B282,""en"",""bn"")"),"আমরা সফলভাবে আপনার উদ্বেগ পেয়েছি...")</f>
        <v>আমরা সফলভাবে আপনার উদ্বেগ পেয়েছি...</v>
      </c>
      <c r="O282" s="4" t="str">
        <f>IFERROR(__xludf.DUMMYFUNCTION("GOOGLETRANSLATE(B282,""en"",""pt"")"),"Conseguimos captar sua preocupação...")</f>
        <v>Conseguimos captar sua preocupação...</v>
      </c>
    </row>
    <row r="283">
      <c r="A283" s="15" t="s">
        <v>786</v>
      </c>
      <c r="B283" s="18" t="s">
        <v>787</v>
      </c>
      <c r="C283" s="4" t="str">
        <f>IFERROR(__xludf.DUMMYFUNCTION("GOOGLETRANSLATE(B283,""en"",""hi"")"),"हम आपको जल्द ही प्राप्त करेंगे")</f>
        <v>हम आपको जल्द ही प्राप्त करेंगे</v>
      </c>
      <c r="D283" s="4" t="str">
        <f>IFERROR(__xludf.DUMMYFUNCTION("GOOGLETRANSLATE(B283,""en"",""ar"")"),"سوف نصل إليك في وقت أقرب")</f>
        <v>سوف نصل إليك في وقت أقرب</v>
      </c>
      <c r="E283" s="4" t="str">
        <f>IFERROR(__xludf.DUMMYFUNCTION("GOOGLETRANSLATE(B283,""en"",""fr"")"),"Nous vous recevrons plus tôt")</f>
        <v>Nous vous recevrons plus tôt</v>
      </c>
      <c r="F283" s="4" t="str">
        <f>IFERROR(__xludf.DUMMYFUNCTION("GOOGLETRANSLATE(B283,""en"",""tr"")"),"Sizi Daha Erken Yakalayacağız")</f>
        <v>Sizi Daha Erken Yakalayacağız</v>
      </c>
      <c r="G283" s="4" t="str">
        <f>IFERROR(__xludf.DUMMYFUNCTION("GOOGLETRANSLATE(B283,""en"",""ru"")"),"Мы доберемся до вас быстрее")</f>
        <v>Мы доберемся до вас быстрее</v>
      </c>
      <c r="H283" s="4" t="str">
        <f>IFERROR(__xludf.DUMMYFUNCTION("GOOGLETRANSLATE(B283,""en"",""it"")"),"Ti prenderemo prima")</f>
        <v>Ti prenderemo prima</v>
      </c>
      <c r="I283" s="4" t="str">
        <f>IFERROR(__xludf.DUMMYFUNCTION("GOOGLETRANSLATE(B283,""en"",""de"")"),"Wir werden Sie schneller erreichen")</f>
        <v>Wir werden Sie schneller erreichen</v>
      </c>
      <c r="J283" s="4" t="str">
        <f>IFERROR(__xludf.DUMMYFUNCTION("GOOGLETRANSLATE(B283,""en"",""ko"")"),"우리는 당신을 더 빨리 데려다 줄 것입니다")</f>
        <v>우리는 당신을 더 빨리 데려다 줄 것입니다</v>
      </c>
      <c r="K283" s="4" t="str">
        <f>IFERROR(__xludf.DUMMYFUNCTION("GOOGLETRANSLATE(B283,""en"",""zh"")"),"我们会尽快为您服务")</f>
        <v>我们会尽快为您服务</v>
      </c>
      <c r="L283" s="4" t="str">
        <f>IFERROR(__xludf.DUMMYFUNCTION("GOOGLETRANSLATE(B283,""en"",""es"")"),"Te atraparemos más pronto")</f>
        <v>Te atraparemos más pronto</v>
      </c>
      <c r="M283" s="4" t="str">
        <f>IFERROR(__xludf.DUMMYFUNCTION("GOOGLETRANSLATE(B283,""en"",""iw"")"),"אנחנו נשיג אותך מוקדם יותר")</f>
        <v>אנחנו נשיג אותך מוקדם יותר</v>
      </c>
      <c r="N283" s="4" t="str">
        <f>IFERROR(__xludf.DUMMYFUNCTION("GOOGLETRANSLATE(B283,""en"",""bn"")"),"আমরা শীঘ্রই আপনাকে পেতে হবে")</f>
        <v>আমরা শীঘ্রই আপনাকে পেতে হবে</v>
      </c>
      <c r="O283" s="4" t="str">
        <f>IFERROR(__xludf.DUMMYFUNCTION("GOOGLETRANSLATE(B283,""en"",""pt"")"),"Nós vamos te pegar mais cedo")</f>
        <v>Nós vamos te pegar mais cedo</v>
      </c>
    </row>
    <row r="284">
      <c r="A284" s="7" t="s">
        <v>788</v>
      </c>
      <c r="B284" s="9" t="s">
        <v>789</v>
      </c>
      <c r="C284" s="4" t="str">
        <f>IFERROR(__xludf.DUMMYFUNCTION("GOOGLETRANSLATE(B284,""en"",""hi"")"),"धन्यवाद")</f>
        <v>धन्यवाद</v>
      </c>
      <c r="D284" s="4" t="str">
        <f>IFERROR(__xludf.DUMMYFUNCTION("GOOGLETRANSLATE(B284,""en"",""ar"")"),"شكرًا لك")</f>
        <v>شكرًا لك</v>
      </c>
      <c r="E284" s="4" t="str">
        <f>IFERROR(__xludf.DUMMYFUNCTION("GOOGLETRANSLATE(B284,""en"",""fr"")"),"Merci")</f>
        <v>Merci</v>
      </c>
      <c r="F284" s="4" t="str">
        <f>IFERROR(__xludf.DUMMYFUNCTION("GOOGLETRANSLATE(B284,""en"",""tr"")"),"Teşekkür ederim")</f>
        <v>Teşekkür ederim</v>
      </c>
      <c r="G284" s="4" t="str">
        <f>IFERROR(__xludf.DUMMYFUNCTION("GOOGLETRANSLATE(B284,""en"",""ru"")"),"Спасибо")</f>
        <v>Спасибо</v>
      </c>
      <c r="H284" s="4" t="str">
        <f>IFERROR(__xludf.DUMMYFUNCTION("GOOGLETRANSLATE(B284,""en"",""it"")"),"Grazie")</f>
        <v>Grazie</v>
      </c>
      <c r="I284" s="4" t="str">
        <f>IFERROR(__xludf.DUMMYFUNCTION("GOOGLETRANSLATE(B284,""en"",""de"")"),"Danke")</f>
        <v>Danke</v>
      </c>
      <c r="J284" s="4" t="str">
        <f>IFERROR(__xludf.DUMMYFUNCTION("GOOGLETRANSLATE(B284,""en"",""ko"")"),"감사합니다")</f>
        <v>감사합니다</v>
      </c>
      <c r="K284" s="4" t="str">
        <f>IFERROR(__xludf.DUMMYFUNCTION("GOOGLETRANSLATE(B284,""en"",""zh"")"),"谢谢")</f>
        <v>谢谢</v>
      </c>
      <c r="L284" s="4" t="str">
        <f>IFERROR(__xludf.DUMMYFUNCTION("GOOGLETRANSLATE(B284,""en"",""es"")"),"Gracias")</f>
        <v>Gracias</v>
      </c>
      <c r="M284" s="4" t="str">
        <f>IFERROR(__xludf.DUMMYFUNCTION("GOOGLETRANSLATE(B284,""en"",""iw"")"),"תודה לך")</f>
        <v>תודה לך</v>
      </c>
      <c r="N284" s="4" t="str">
        <f>IFERROR(__xludf.DUMMYFUNCTION("GOOGLETRANSLATE(B284,""en"",""bn"")"),"ধন্যবাদ")</f>
        <v>ধন্যবাদ</v>
      </c>
      <c r="O284" s="4" t="str">
        <f>IFERROR(__xludf.DUMMYFUNCTION("GOOGLETRANSLATE(B284,""en"",""pt"")"),"Obrigado")</f>
        <v>Obrigado</v>
      </c>
    </row>
    <row r="285">
      <c r="A285" s="7" t="s">
        <v>790</v>
      </c>
      <c r="B285" s="3" t="s">
        <v>791</v>
      </c>
      <c r="C285" s="4" t="str">
        <f>IFERROR(__xludf.DUMMYFUNCTION("GOOGLETRANSLATE(B285,""en"",""hi"")"),"न्यूनतम 10 अक्षर")</f>
        <v>न्यूनतम 10 अक्षर</v>
      </c>
      <c r="D285" s="4" t="str">
        <f>IFERROR(__xludf.DUMMYFUNCTION("GOOGLETRANSLATE(B285,""en"",""ar"")"),"الحد الأدنى 10 أحرف")</f>
        <v>الحد الأدنى 10 أحرف</v>
      </c>
      <c r="E285" s="4" t="str">
        <f>IFERROR(__xludf.DUMMYFUNCTION("GOOGLETRANSLATE(B285,""en"",""fr"")"),"minimum 10 caractères")</f>
        <v>minimum 10 caractères</v>
      </c>
      <c r="F285" s="4" t="str">
        <f>IFERROR(__xludf.DUMMYFUNCTION("GOOGLETRANSLATE(B285,""en"",""tr"")"),"en az 10 karakter")</f>
        <v>en az 10 karakter</v>
      </c>
      <c r="G285" s="4" t="str">
        <f>IFERROR(__xludf.DUMMYFUNCTION("GOOGLETRANSLATE(B285,""en"",""ru"")"),"минимум 10 символов")</f>
        <v>минимум 10 символов</v>
      </c>
      <c r="H285" s="4" t="str">
        <f>IFERROR(__xludf.DUMMYFUNCTION("GOOGLETRANSLATE(B285,""en"",""it"")"),"minimo 10 caratteri")</f>
        <v>minimo 10 caratteri</v>
      </c>
      <c r="I285" s="4" t="str">
        <f>IFERROR(__xludf.DUMMYFUNCTION("GOOGLETRANSLATE(B285,""en"",""de"")"),"mindestens 10 Zeichen")</f>
        <v>mindestens 10 Zeichen</v>
      </c>
      <c r="J285" s="4" t="str">
        <f>IFERROR(__xludf.DUMMYFUNCTION("GOOGLETRANSLATE(B285,""en"",""ko"")"),"최소 10자")</f>
        <v>최소 10자</v>
      </c>
      <c r="K285" s="4" t="str">
        <f>IFERROR(__xludf.DUMMYFUNCTION("GOOGLETRANSLATE(B285,""en"",""zh"")"),"至少 10 个字符")</f>
        <v>至少 10 个字符</v>
      </c>
      <c r="L285" s="4" t="str">
        <f>IFERROR(__xludf.DUMMYFUNCTION("GOOGLETRANSLATE(B285,""en"",""es"")"),"mínimo 10 caracteres")</f>
        <v>mínimo 10 caracteres</v>
      </c>
      <c r="M285" s="4" t="str">
        <f>IFERROR(__xludf.DUMMYFUNCTION("GOOGLETRANSLATE(B285,""en"",""iw"")"),"מינימום 10 תווים")</f>
        <v>מינימום 10 תווים</v>
      </c>
      <c r="N285" s="4" t="str">
        <f>IFERROR(__xludf.DUMMYFUNCTION("GOOGLETRANSLATE(B285,""en"",""bn"")"),"সর্বনিম্ন 10 অক্ষর")</f>
        <v>সর্বনিম্ন 10 অক্ষর</v>
      </c>
      <c r="O285" s="4" t="str">
        <f>IFERROR(__xludf.DUMMYFUNCTION("GOOGLETRANSLATE(B285,""en"",""pt"")"),"mínimo de 10 caracteres")</f>
        <v>mínimo de 10 caracteres</v>
      </c>
    </row>
    <row r="286">
      <c r="A286" s="7" t="s">
        <v>792</v>
      </c>
      <c r="B286" s="3" t="s">
        <v>793</v>
      </c>
      <c r="C286" s="4" t="str">
        <f>IFERROR(__xludf.DUMMYFUNCTION("GOOGLETRANSLATE(B286,""en"",""hi"")"),"1 महीने के लिए निःशुल्क परीक्षण करें")</f>
        <v>1 महीने के लिए निःशुल्क परीक्षण करें</v>
      </c>
      <c r="D286" s="4" t="str">
        <f>IFERROR(__xludf.DUMMYFUNCTION("GOOGLETRANSLATE(B286,""en"",""ar"")"),"جرب النسخة التجريبية المجانية لمدة شهر واحد")</f>
        <v>جرب النسخة التجريبية المجانية لمدة شهر واحد</v>
      </c>
      <c r="E286" s="4" t="str">
        <f>IFERROR(__xludf.DUMMYFUNCTION("GOOGLETRANSLATE(B286,""en"",""fr"")"),"Essayez gratuitement pendant 1 mois")</f>
        <v>Essayez gratuitement pendant 1 mois</v>
      </c>
      <c r="F286" s="4" t="str">
        <f>IFERROR(__xludf.DUMMYFUNCTION("GOOGLETRANSLATE(B286,""en"",""tr"")"),"1 Ay Ücretsiz Denemeyi Deneyin")</f>
        <v>1 Ay Ücretsiz Denemeyi Deneyin</v>
      </c>
      <c r="G286" s="4" t="str">
        <f>IFERROR(__xludf.DUMMYFUNCTION("GOOGLETRANSLATE(B286,""en"",""ru"")"),"Попробуйте бесплатную пробную версию на 1 месяц")</f>
        <v>Попробуйте бесплатную пробную версию на 1 месяц</v>
      </c>
      <c r="H286" s="4" t="str">
        <f>IFERROR(__xludf.DUMMYFUNCTION("GOOGLETRANSLATE(B286,""en"",""it"")"),"Prova la versione gratuita per 1 mese")</f>
        <v>Prova la versione gratuita per 1 mese</v>
      </c>
      <c r="I286" s="4" t="str">
        <f>IFERROR(__xludf.DUMMYFUNCTION("GOOGLETRANSLATE(B286,""en"",""de"")"),"1 Monat lang kostenlos testen")</f>
        <v>1 Monat lang kostenlos testen</v>
      </c>
      <c r="J286" s="4" t="str">
        <f>IFERROR(__xludf.DUMMYFUNCTION("GOOGLETRANSLATE(B286,""en"",""ko"")"),"1개월 무료 체험을 해보세요")</f>
        <v>1개월 무료 체험을 해보세요</v>
      </c>
      <c r="K286" s="4" t="str">
        <f>IFERROR(__xludf.DUMMYFUNCTION("GOOGLETRANSLATE(B286,""en"",""zh"")"),"免费试用 1 个月")</f>
        <v>免费试用 1 个月</v>
      </c>
      <c r="L286" s="4" t="str">
        <f>IFERROR(__xludf.DUMMYFUNCTION("GOOGLETRANSLATE(B286,""en"",""es"")"),"Prueba la versión de prueba gratuita durante 1 mes")</f>
        <v>Prueba la versión de prueba gratuita durante 1 mes</v>
      </c>
      <c r="M286" s="4" t="str">
        <f>IFERROR(__xludf.DUMMYFUNCTION("GOOGLETRANSLATE(B286,""en"",""iw"")"),"נסה ניסיון חינם למשך חודש אחד")</f>
        <v>נסה ניסיון חינם למשך חודש אחד</v>
      </c>
      <c r="N286" s="4" t="str">
        <f>IFERROR(__xludf.DUMMYFUNCTION("GOOGLETRANSLATE(B286,""en"",""bn"")"),"1 মাসের জন্য বিনামূল্যে ট্রায়াল চেষ্টা করুন")</f>
        <v>1 মাসের জন্য বিনামূল্যে ট্রায়াল চেষ্টা করুন</v>
      </c>
      <c r="O286" s="4" t="str">
        <f>IFERROR(__xludf.DUMMYFUNCTION("GOOGLETRANSLATE(B286,""en"",""pt"")"),"Experimente o teste gratuito por 1 mês")</f>
        <v>Experimente o teste gratuito por 1 mês</v>
      </c>
    </row>
    <row r="287">
      <c r="A287" s="16" t="s">
        <v>794</v>
      </c>
      <c r="B287" s="3" t="s">
        <v>795</v>
      </c>
      <c r="C287" s="4" t="str">
        <f>IFERROR(__xludf.DUMMYFUNCTION("GOOGLETRANSLATE(B287,""en"",""hi"")"),"क्या आपको 1 महीने का निःशुल्क परीक्षण मिलना निश्चित है?")</f>
        <v>क्या आपको 1 महीने का निःशुल्क परीक्षण मिलना निश्चित है?</v>
      </c>
      <c r="D287" s="4" t="str">
        <f>IFERROR(__xludf.DUMMYFUNCTION("GOOGLETRANSLATE(B287,""en"",""ar"")"),"هل أنت متأكد من الحصول على نسخة تجريبية مجانية لمدة شهر واحد؟")</f>
        <v>هل أنت متأكد من الحصول على نسخة تجريبية مجانية لمدة شهر واحد؟</v>
      </c>
      <c r="E287" s="4" t="str">
        <f>IFERROR(__xludf.DUMMYFUNCTION("GOOGLETRANSLATE(B287,""en"",""fr"")"),"Êtes-vous sûr d'obtenir un essai gratuit pendant 1 mois")</f>
        <v>Êtes-vous sûr d'obtenir un essai gratuit pendant 1 mois</v>
      </c>
      <c r="F287" s="4" t="str">
        <f>IFERROR(__xludf.DUMMYFUNCTION("GOOGLETRANSLATE(B287,""en"",""tr"")"),"1 ay boyunca Ücretsiz Deneme'yi alacağınızdan emin misiniz?")</f>
        <v>1 ay boyunca Ücretsiz Deneme'yi alacağınızdan emin misiniz?</v>
      </c>
      <c r="G287" s="4" t="str">
        <f>IFERROR(__xludf.DUMMYFUNCTION("GOOGLETRANSLATE(B287,""en"",""ru"")"),"Вы уверены, что получите бесплатную пробную версию на 1 месяц?")</f>
        <v>Вы уверены, что получите бесплатную пробную версию на 1 месяц?</v>
      </c>
      <c r="H287" s="4" t="str">
        <f>IFERROR(__xludf.DUMMYFUNCTION("GOOGLETRANSLATE(B287,""en"",""it"")"),"Sei sicuro di ottenere la prova gratuita per 1 mese?")</f>
        <v>Sei sicuro di ottenere la prova gratuita per 1 mese?</v>
      </c>
      <c r="I287" s="4" t="str">
        <f>IFERROR(__xludf.DUMMYFUNCTION("GOOGLETRANSLATE(B287,""en"",""de"")"),"Sind Sie sicher, dass Sie einen Monat lang eine kostenlose Testversion erhalten?")</f>
        <v>Sind Sie sicher, dass Sie einen Monat lang eine kostenlose Testversion erhalten?</v>
      </c>
      <c r="J287" s="4" t="str">
        <f>IFERROR(__xludf.DUMMYFUNCTION("GOOGLETRANSLATE(B287,""en"",""ko"")"),"1개월 무료 체험을 받으시겠습니까?")</f>
        <v>1개월 무료 체험을 받으시겠습니까?</v>
      </c>
      <c r="K287" s="4" t="str">
        <f>IFERROR(__xludf.DUMMYFUNCTION("GOOGLETRANSLATE(B287,""en"",""zh"")"),"您确定要免费试用一个月吗")</f>
        <v>您确定要免费试用一个月吗</v>
      </c>
      <c r="L287" s="4" t="str">
        <f>IFERROR(__xludf.DUMMYFUNCTION("GOOGLETRANSLATE(B287,""en"",""es"")"),"¿Estás seguro de obtener una prueba gratuita durante 1 mes?")</f>
        <v>¿Estás seguro de obtener una prueba gratuita durante 1 mes?</v>
      </c>
      <c r="M287" s="4" t="str">
        <f>IFERROR(__xludf.DUMMYFUNCTION("GOOGLETRANSLATE(B287,""en"",""iw"")"),"האם אתה בטוח שתקבל ניסיון חינם לחודש אחד")</f>
        <v>האם אתה בטוח שתקבל ניסיון חינם לחודש אחד</v>
      </c>
      <c r="N287" s="4" t="str">
        <f>IFERROR(__xludf.DUMMYFUNCTION("GOOGLETRANSLATE(B287,""en"",""bn"")"),"আপনি কি 1 মাসের জন্য বিনামূল্যে ট্রায়াল পাওয়ার বিষয়ে নিশ্চিত")</f>
        <v>আপনি কি 1 মাসের জন্য বিনামূল্যে ট্রায়াল পাওয়ার বিষয়ে নিশ্চিত</v>
      </c>
      <c r="O287" s="4" t="str">
        <f>IFERROR(__xludf.DUMMYFUNCTION("GOOGLETRANSLATE(B287,""en"",""pt"")"),"Tem certeza de que deseja obter um teste gratuito por 1 mês?")</f>
        <v>Tem certeza de que deseja obter um teste gratuito por 1 mês?</v>
      </c>
    </row>
    <row r="288">
      <c r="A288" s="7" t="s">
        <v>796</v>
      </c>
      <c r="B288" s="9" t="s">
        <v>797</v>
      </c>
      <c r="C288" s="4" t="str">
        <f>IFERROR(__xludf.DUMMYFUNCTION("GOOGLETRANSLATE(B288,""en"",""hi"")"),"इंतज़ार का समय")</f>
        <v>इंतज़ार का समय</v>
      </c>
      <c r="D288" s="4" t="str">
        <f>IFERROR(__xludf.DUMMYFUNCTION("GOOGLETRANSLATE(B288,""en"",""ar"")"),"وقت الانتظار")</f>
        <v>وقت الانتظار</v>
      </c>
      <c r="E288" s="4" t="str">
        <f>IFERROR(__xludf.DUMMYFUNCTION("GOOGLETRANSLATE(B288,""en"",""fr"")"),"Temps d'attente")</f>
        <v>Temps d'attente</v>
      </c>
      <c r="F288" s="4" t="str">
        <f>IFERROR(__xludf.DUMMYFUNCTION("GOOGLETRANSLATE(B288,""en"",""tr"")"),"Bekleme Süresi")</f>
        <v>Bekleme Süresi</v>
      </c>
      <c r="G288" s="4" t="str">
        <f>IFERROR(__xludf.DUMMYFUNCTION("GOOGLETRANSLATE(B288,""en"",""ru"")"),"Время ожидания")</f>
        <v>Время ожидания</v>
      </c>
      <c r="H288" s="4" t="str">
        <f>IFERROR(__xludf.DUMMYFUNCTION("GOOGLETRANSLATE(B288,""en"",""it"")"),"Tempo di attesa")</f>
        <v>Tempo di attesa</v>
      </c>
      <c r="I288" s="4" t="str">
        <f>IFERROR(__xludf.DUMMYFUNCTION("GOOGLETRANSLATE(B288,""en"",""de"")"),"Wartezeit")</f>
        <v>Wartezeit</v>
      </c>
      <c r="J288" s="4" t="str">
        <f>IFERROR(__xludf.DUMMYFUNCTION("GOOGLETRANSLATE(B288,""en"",""ko"")"),"대기 시간")</f>
        <v>대기 시간</v>
      </c>
      <c r="K288" s="4" t="str">
        <f>IFERROR(__xludf.DUMMYFUNCTION("GOOGLETRANSLATE(B288,""en"",""zh"")"),"等待时间")</f>
        <v>等待时间</v>
      </c>
      <c r="L288" s="4" t="str">
        <f>IFERROR(__xludf.DUMMYFUNCTION("GOOGLETRANSLATE(B288,""en"",""es"")"),"Tiempo de espera")</f>
        <v>Tiempo de espera</v>
      </c>
      <c r="M288" s="4" t="str">
        <f>IFERROR(__xludf.DUMMYFUNCTION("GOOGLETRANSLATE(B288,""en"",""iw"")"),"זמן המתנה")</f>
        <v>זמן המתנה</v>
      </c>
      <c r="N288" s="4" t="str">
        <f>IFERROR(__xludf.DUMMYFUNCTION("GOOGLETRANSLATE(B288,""en"",""bn"")"),"অপেক্ষার সময়")</f>
        <v>অপেক্ষার সময়</v>
      </c>
      <c r="O288" s="4" t="str">
        <f>IFERROR(__xludf.DUMMYFUNCTION("GOOGLETRANSLATE(B288,""en"",""pt"")"),"Tempo de espera")</f>
        <v>Tempo de espera</v>
      </c>
    </row>
    <row r="289">
      <c r="A289" s="7" t="s">
        <v>798</v>
      </c>
      <c r="B289" s="3" t="s">
        <v>799</v>
      </c>
      <c r="C289" s="4" t="str">
        <f>IFERROR(__xludf.DUMMYFUNCTION("GOOGLETRANSLATE(B289,""en"",""hi"")"),"मिनट")</f>
        <v>मिनट</v>
      </c>
      <c r="D289" s="4" t="str">
        <f>IFERROR(__xludf.DUMMYFUNCTION("GOOGLETRANSLATE(B289,""en"",""ar"")"),"دقائق")</f>
        <v>دقائق</v>
      </c>
      <c r="E289" s="4" t="str">
        <f>IFERROR(__xludf.DUMMYFUNCTION("GOOGLETRANSLATE(B289,""en"",""fr"")"),"minutes")</f>
        <v>minutes</v>
      </c>
      <c r="F289" s="4" t="str">
        <f>IFERROR(__xludf.DUMMYFUNCTION("GOOGLETRANSLATE(B289,""en"",""tr"")"),"dakika")</f>
        <v>dakika</v>
      </c>
      <c r="G289" s="4" t="str">
        <f>IFERROR(__xludf.DUMMYFUNCTION("GOOGLETRANSLATE(B289,""en"",""ru"")"),"мин")</f>
        <v>мин</v>
      </c>
      <c r="H289" s="4" t="str">
        <f>IFERROR(__xludf.DUMMYFUNCTION("GOOGLETRANSLATE(B289,""en"",""it"")"),"minuti")</f>
        <v>minuti</v>
      </c>
      <c r="I289" s="4" t="str">
        <f>IFERROR(__xludf.DUMMYFUNCTION("GOOGLETRANSLATE(B289,""en"",""de"")"),"Minuten")</f>
        <v>Minuten</v>
      </c>
      <c r="J289" s="4" t="str">
        <f>IFERROR(__xludf.DUMMYFUNCTION("GOOGLETRANSLATE(B289,""en"",""ko"")"),"분")</f>
        <v>분</v>
      </c>
      <c r="K289" s="4" t="str">
        <f>IFERROR(__xludf.DUMMYFUNCTION("GOOGLETRANSLATE(B289,""en"",""zh"")"),"分钟")</f>
        <v>分钟</v>
      </c>
      <c r="L289" s="4" t="str">
        <f>IFERROR(__xludf.DUMMYFUNCTION("GOOGLETRANSLATE(B289,""en"",""es"")"),"minutos")</f>
        <v>minutos</v>
      </c>
      <c r="M289" s="4" t="str">
        <f>IFERROR(__xludf.DUMMYFUNCTION("GOOGLETRANSLATE(B289,""en"",""iw"")"),"דקות")</f>
        <v>דקות</v>
      </c>
      <c r="N289" s="4" t="str">
        <f>IFERROR(__xludf.DUMMYFUNCTION("GOOGLETRANSLATE(B289,""en"",""bn"")"),"মিনিট")</f>
        <v>মিনিট</v>
      </c>
      <c r="O289" s="4" t="str">
        <f>IFERROR(__xludf.DUMMYFUNCTION("GOOGLETRANSLATE(B289,""en"",""pt"")"),"minutos")</f>
        <v>minutos</v>
      </c>
    </row>
    <row r="290">
      <c r="A290" s="7" t="s">
        <v>800</v>
      </c>
      <c r="B290" s="3" t="s">
        <v>801</v>
      </c>
      <c r="C290" s="4" t="str">
        <f>IFERROR(__xludf.DUMMYFUNCTION("GOOGLETRANSLATE(B290,""en"",""hi"")"),"निःशुल्क प्रतीक्षा समय")</f>
        <v>निःशुल्क प्रतीक्षा समय</v>
      </c>
      <c r="D290" s="4" t="str">
        <f>IFERROR(__xludf.DUMMYFUNCTION("GOOGLETRANSLATE(B290,""en"",""ar"")"),"وقت انتظار مجاني")</f>
        <v>وقت انتظار مجاني</v>
      </c>
      <c r="E290" s="4" t="str">
        <f>IFERROR(__xludf.DUMMYFUNCTION("GOOGLETRANSLATE(B290,""en"",""fr"")"),"Temps d'attente gratuit")</f>
        <v>Temps d'attente gratuit</v>
      </c>
      <c r="F290" s="4" t="str">
        <f>IFERROR(__xludf.DUMMYFUNCTION("GOOGLETRANSLATE(B290,""en"",""tr"")"),"Ücretsiz Bekleme Süresi")</f>
        <v>Ücretsiz Bekleme Süresi</v>
      </c>
      <c r="G290" s="4" t="str">
        <f>IFERROR(__xludf.DUMMYFUNCTION("GOOGLETRANSLATE(B290,""en"",""ru"")"),"Бесплатное время ожидания")</f>
        <v>Бесплатное время ожидания</v>
      </c>
      <c r="H290" s="4" t="str">
        <f>IFERROR(__xludf.DUMMYFUNCTION("GOOGLETRANSLATE(B290,""en"",""it"")"),"Tempo di attesa gratuito")</f>
        <v>Tempo di attesa gratuito</v>
      </c>
      <c r="I290" s="4" t="str">
        <f>IFERROR(__xludf.DUMMYFUNCTION("GOOGLETRANSLATE(B290,""en"",""de"")"),"Kostenlose Wartezeit")</f>
        <v>Kostenlose Wartezeit</v>
      </c>
      <c r="J290" s="4" t="str">
        <f>IFERROR(__xludf.DUMMYFUNCTION("GOOGLETRANSLATE(B290,""en"",""ko"")"),"무료 대기 시간")</f>
        <v>무료 대기 시간</v>
      </c>
      <c r="K290" s="4" t="str">
        <f>IFERROR(__xludf.DUMMYFUNCTION("GOOGLETRANSLATE(B290,""en"",""zh"")"),"免费等候时间")</f>
        <v>免费等候时间</v>
      </c>
      <c r="L290" s="4" t="str">
        <f>IFERROR(__xludf.DUMMYFUNCTION("GOOGLETRANSLATE(B290,""en"",""es"")"),"Tiempo de espera gratuito")</f>
        <v>Tiempo de espera gratuito</v>
      </c>
      <c r="M290" s="4" t="str">
        <f>IFERROR(__xludf.DUMMYFUNCTION("GOOGLETRANSLATE(B290,""en"",""iw"")"),"זמן המתנה חינם")</f>
        <v>זמן המתנה חינם</v>
      </c>
      <c r="N290" s="4" t="str">
        <f>IFERROR(__xludf.DUMMYFUNCTION("GOOGLETRANSLATE(B290,""en"",""bn"")"),"বিনামূল্যে অপেক্ষার সময়")</f>
        <v>বিনামূল্যে অপেক্ষার সময়</v>
      </c>
      <c r="O290" s="4" t="str">
        <f>IFERROR(__xludf.DUMMYFUNCTION("GOOGLETRANSLATE(B290,""en"",""pt"")"),"Tempo de espera gratuito")</f>
        <v>Tempo de espera gratuito</v>
      </c>
    </row>
    <row r="291">
      <c r="A291" s="7" t="s">
        <v>802</v>
      </c>
      <c r="B291" s="9" t="s">
        <v>803</v>
      </c>
      <c r="C291" s="4" t="str">
        <f>IFERROR(__xludf.DUMMYFUNCTION("GOOGLETRANSLATE(B291,""en"",""hi"")"),"यात्रा शुरू होने से पहले निःशुल्क प्रतीक्षा समय")</f>
        <v>यात्रा शुरू होने से पहले निःशुल्क प्रतीक्षा समय</v>
      </c>
      <c r="D291" s="4" t="str">
        <f>IFERROR(__xludf.DUMMYFUNCTION("GOOGLETRANSLATE(B291,""en"",""ar"")"),"وقت انتظار مجاني قبل بدء الرحلة")</f>
        <v>وقت انتظار مجاني قبل بدء الرحلة</v>
      </c>
      <c r="E291" s="4" t="str">
        <f>IFERROR(__xludf.DUMMYFUNCTION("GOOGLETRANSLATE(B291,""en"",""fr"")"),"Temps d'attente gratuit avant le début du voyage")</f>
        <v>Temps d'attente gratuit avant le début du voyage</v>
      </c>
      <c r="F291" s="4" t="str">
        <f>IFERROR(__xludf.DUMMYFUNCTION("GOOGLETRANSLATE(B291,""en"",""tr"")"),"Seyahat Başlamadan Önce Ücretsiz Bekleme Süresi")</f>
        <v>Seyahat Başlamadan Önce Ücretsiz Bekleme Süresi</v>
      </c>
      <c r="G291" s="4" t="str">
        <f>IFERROR(__xludf.DUMMYFUNCTION("GOOGLETRANSLATE(B291,""en"",""ru"")"),"Бесплатное время ожидания перед началом поездки")</f>
        <v>Бесплатное время ожидания перед началом поездки</v>
      </c>
      <c r="H291" s="4" t="str">
        <f>IFERROR(__xludf.DUMMYFUNCTION("GOOGLETRANSLATE(B291,""en"",""it"")"),"Tempo di attesa gratuito prima dell'inizio del viaggio")</f>
        <v>Tempo di attesa gratuito prima dell'inizio del viaggio</v>
      </c>
      <c r="I291" s="4" t="str">
        <f>IFERROR(__xludf.DUMMYFUNCTION("GOOGLETRANSLATE(B291,""en"",""de"")"),"Kostenlose Wartezeit vor Reisebeginn")</f>
        <v>Kostenlose Wartezeit vor Reisebeginn</v>
      </c>
      <c r="J291" s="4" t="str">
        <f>IFERROR(__xludf.DUMMYFUNCTION("GOOGLETRANSLATE(B291,""en"",""ko"")"),"여행 시작 전 무료 대기 시간")</f>
        <v>여행 시작 전 무료 대기 시간</v>
      </c>
      <c r="K291" s="4" t="str">
        <f>IFERROR(__xludf.DUMMYFUNCTION("GOOGLETRANSLATE(B291,""en"",""zh"")"),"行程开始前的免费等候时间")</f>
        <v>行程开始前的免费等候时间</v>
      </c>
      <c r="L291" s="4" t="str">
        <f>IFERROR(__xludf.DUMMYFUNCTION("GOOGLETRANSLATE(B291,""en"",""es"")"),"Tiempo de espera gratuito antes del inicio del viaje")</f>
        <v>Tiempo de espera gratuito antes del inicio del viaje</v>
      </c>
      <c r="M291" s="4" t="str">
        <f>IFERROR(__xludf.DUMMYFUNCTION("GOOGLETRANSLATE(B291,""en"",""iw"")"),"זמן המתנה חינם לפני תחילת הטיול")</f>
        <v>זמן המתנה חינם לפני תחילת הטיול</v>
      </c>
      <c r="N291" s="4" t="str">
        <f>IFERROR(__xludf.DUMMYFUNCTION("GOOGLETRANSLATE(B291,""en"",""bn"")"),"ট্রিপ শুরুর আগে বিনামূল্যে অপেক্ষার সময়")</f>
        <v>ট্রিপ শুরুর আগে বিনামূল্যে অপেক্ষার সময়</v>
      </c>
      <c r="O291" s="4" t="str">
        <f>IFERROR(__xludf.DUMMYFUNCTION("GOOGLETRANSLATE(B291,""en"",""pt"")"),"Tempo de espera gratuito antes do início da viagem")</f>
        <v>Tempo de espera gratuito antes do início da viagem</v>
      </c>
    </row>
    <row r="292">
      <c r="A292" s="7" t="s">
        <v>804</v>
      </c>
      <c r="B292" s="9" t="s">
        <v>805</v>
      </c>
      <c r="C292" s="4" t="str">
        <f>IFERROR(__xludf.DUMMYFUNCTION("GOOGLETRANSLATE(B292,""en"",""hi"")"),"यात्रा शुरू होने के बाद मुफ़्त प्रतीक्षा समय")</f>
        <v>यात्रा शुरू होने के बाद मुफ़्त प्रतीक्षा समय</v>
      </c>
      <c r="D292" s="4" t="str">
        <f>IFERROR(__xludf.DUMMYFUNCTION("GOOGLETRANSLATE(B292,""en"",""ar"")"),"وقت انتظار مجاني بعد بدء الرحلة")</f>
        <v>وقت انتظار مجاني بعد بدء الرحلة</v>
      </c>
      <c r="E292" s="4" t="str">
        <f>IFERROR(__xludf.DUMMYFUNCTION("GOOGLETRANSLATE(B292,""en"",""fr"")"),"Temps d'attente gratuit après le début du voyage")</f>
        <v>Temps d'attente gratuit après le début du voyage</v>
      </c>
      <c r="F292" s="4" t="str">
        <f>IFERROR(__xludf.DUMMYFUNCTION("GOOGLETRANSLATE(B292,""en"",""tr"")"),"Seyahat Başladıktan Sonra Ücretsiz Bekleme Süresi")</f>
        <v>Seyahat Başladıktan Sonra Ücretsiz Bekleme Süresi</v>
      </c>
      <c r="G292" s="4" t="str">
        <f>IFERROR(__xludf.DUMMYFUNCTION("GOOGLETRANSLATE(B292,""en"",""ru"")"),"Бесплатное время ожидания после начала поездки")</f>
        <v>Бесплатное время ожидания после начала поездки</v>
      </c>
      <c r="H292" s="4" t="str">
        <f>IFERROR(__xludf.DUMMYFUNCTION("GOOGLETRANSLATE(B292,""en"",""it"")"),"Tempo di attesa gratuito dopo l'inizio del viaggio")</f>
        <v>Tempo di attesa gratuito dopo l'inizio del viaggio</v>
      </c>
      <c r="I292" s="4" t="str">
        <f>IFERROR(__xludf.DUMMYFUNCTION("GOOGLETRANSLATE(B292,""en"",""de"")"),"Kostenlose Wartezeit nach Reisebeginn")</f>
        <v>Kostenlose Wartezeit nach Reisebeginn</v>
      </c>
      <c r="J292" s="4" t="str">
        <f>IFERROR(__xludf.DUMMYFUNCTION("GOOGLETRANSLATE(B292,""en"",""ko"")"),"여행 시작 후 무료 대기 시간")</f>
        <v>여행 시작 후 무료 대기 시간</v>
      </c>
      <c r="K292" s="4" t="str">
        <f>IFERROR(__xludf.DUMMYFUNCTION("GOOGLETRANSLATE(B292,""en"",""zh"")"),"行程开始后免费等候时间")</f>
        <v>行程开始后免费等候时间</v>
      </c>
      <c r="L292" s="4" t="str">
        <f>IFERROR(__xludf.DUMMYFUNCTION("GOOGLETRANSLATE(B292,""en"",""es"")"),"Tiempo de espera gratuito después del inicio del viaje")</f>
        <v>Tiempo de espera gratuito después del inicio del viaje</v>
      </c>
      <c r="M292" s="4" t="str">
        <f>IFERROR(__xludf.DUMMYFUNCTION("GOOGLETRANSLATE(B292,""en"",""iw"")"),"זמן המתנה חינם לאחר תחילת הטיול")</f>
        <v>זמן המתנה חינם לאחר תחילת הטיול</v>
      </c>
      <c r="N292" s="4" t="str">
        <f>IFERROR(__xludf.DUMMYFUNCTION("GOOGLETRANSLATE(B292,""en"",""bn"")"),"ট্রিপ শুরুর পরে বিনামূল্যে অপেক্ষার সময়")</f>
        <v>ট্রিপ শুরুর পরে বিনামূল্যে অপেক্ষার সময়</v>
      </c>
      <c r="O292" s="4" t="str">
        <f>IFERROR(__xludf.DUMMYFUNCTION("GOOGLETRANSLATE(B292,""en"",""pt"")"),"Tempo de espera gratuito após o início da viagem")</f>
        <v>Tempo de espera gratuito após o início da viagem</v>
      </c>
    </row>
    <row r="293">
      <c r="A293" s="7" t="s">
        <v>806</v>
      </c>
      <c r="B293" s="9" t="s">
        <v>807</v>
      </c>
      <c r="C293" s="4" t="str">
        <f>IFERROR(__xludf.DUMMYFUNCTION("GOOGLETRANSLATE(B293,""en"",""hi"")"),"प्रतीक्षा मूल्य")</f>
        <v>प्रतीक्षा मूल्य</v>
      </c>
      <c r="D293" s="4" t="str">
        <f>IFERROR(__xludf.DUMMYFUNCTION("GOOGLETRANSLATE(B293,""en"",""ar"")"),"سعر الانتظار")</f>
        <v>سعر الانتظار</v>
      </c>
      <c r="E293" s="4" t="str">
        <f>IFERROR(__xludf.DUMMYFUNCTION("GOOGLETRANSLATE(B293,""en"",""fr"")"),"Prix d'attente")</f>
        <v>Prix d'attente</v>
      </c>
      <c r="F293" s="4" t="str">
        <f>IFERROR(__xludf.DUMMYFUNCTION("GOOGLETRANSLATE(B293,""en"",""tr"")"),"Bekleme Fiyatı")</f>
        <v>Bekleme Fiyatı</v>
      </c>
      <c r="G293" s="4" t="str">
        <f>IFERROR(__xludf.DUMMYFUNCTION("GOOGLETRANSLATE(B293,""en"",""ru"")"),"Цена ожидания")</f>
        <v>Цена ожидания</v>
      </c>
      <c r="H293" s="4" t="str">
        <f>IFERROR(__xludf.DUMMYFUNCTION("GOOGLETRANSLATE(B293,""en"",""it"")"),"Prezzo di attesa")</f>
        <v>Prezzo di attesa</v>
      </c>
      <c r="I293" s="4" t="str">
        <f>IFERROR(__xludf.DUMMYFUNCTION("GOOGLETRANSLATE(B293,""en"",""de"")"),"Wartepreis")</f>
        <v>Wartepreis</v>
      </c>
      <c r="J293" s="4" t="str">
        <f>IFERROR(__xludf.DUMMYFUNCTION("GOOGLETRANSLATE(B293,""en"",""ko"")"),"대기 가격")</f>
        <v>대기 가격</v>
      </c>
      <c r="K293" s="4" t="str">
        <f>IFERROR(__xludf.DUMMYFUNCTION("GOOGLETRANSLATE(B293,""en"",""zh"")"),"等待价格")</f>
        <v>等待价格</v>
      </c>
      <c r="L293" s="4" t="str">
        <f>IFERROR(__xludf.DUMMYFUNCTION("GOOGLETRANSLATE(B293,""en"",""es"")"),"Precio de espera")</f>
        <v>Precio de espera</v>
      </c>
      <c r="M293" s="4" t="str">
        <f>IFERROR(__xludf.DUMMYFUNCTION("GOOGLETRANSLATE(B293,""en"",""iw"")"),"מחיר מחכה")</f>
        <v>מחיר מחכה</v>
      </c>
      <c r="N293" s="4" t="str">
        <f>IFERROR(__xludf.DUMMYFUNCTION("GOOGLETRANSLATE(B293,""en"",""bn"")"),"অপেক্ষার দাম")</f>
        <v>অপেক্ষার দাম</v>
      </c>
      <c r="O293" s="4" t="str">
        <f>IFERROR(__xludf.DUMMYFUNCTION("GOOGLETRANSLATE(B293,""en"",""pt"")"),"Preço de espera")</f>
        <v>Preço de espera</v>
      </c>
    </row>
    <row r="294">
      <c r="A294" s="7" t="s">
        <v>808</v>
      </c>
      <c r="B294" s="9" t="s">
        <v>809</v>
      </c>
      <c r="C294" s="4" t="str">
        <f>IFERROR(__xludf.DUMMYFUNCTION("GOOGLETRANSLATE(B294,""en"",""hi"")"),"छूट")</f>
        <v>छूट</v>
      </c>
      <c r="D294" s="4" t="str">
        <f>IFERROR(__xludf.DUMMYFUNCTION("GOOGLETRANSLATE(B294,""en"",""ar"")"),"تخفيض")</f>
        <v>تخفيض</v>
      </c>
      <c r="E294" s="4" t="str">
        <f>IFERROR(__xludf.DUMMYFUNCTION("GOOGLETRANSLATE(B294,""en"",""fr"")"),"Rabais")</f>
        <v>Rabais</v>
      </c>
      <c r="F294" s="4" t="str">
        <f>IFERROR(__xludf.DUMMYFUNCTION("GOOGLETRANSLATE(B294,""en"",""tr"")"),"İndirim")</f>
        <v>İndirim</v>
      </c>
      <c r="G294" s="4" t="str">
        <f>IFERROR(__xludf.DUMMYFUNCTION("GOOGLETRANSLATE(B294,""en"",""ru"")"),"Скидка")</f>
        <v>Скидка</v>
      </c>
      <c r="H294" s="4" t="str">
        <f>IFERROR(__xludf.DUMMYFUNCTION("GOOGLETRANSLATE(B294,""en"",""it"")"),"Sconto")</f>
        <v>Sconto</v>
      </c>
      <c r="I294" s="4" t="str">
        <f>IFERROR(__xludf.DUMMYFUNCTION("GOOGLETRANSLATE(B294,""en"",""de"")"),"Rabatt")</f>
        <v>Rabatt</v>
      </c>
      <c r="J294" s="4" t="str">
        <f>IFERROR(__xludf.DUMMYFUNCTION("GOOGLETRANSLATE(B294,""en"",""ko"")"),"할인")</f>
        <v>할인</v>
      </c>
      <c r="K294" s="4" t="str">
        <f>IFERROR(__xludf.DUMMYFUNCTION("GOOGLETRANSLATE(B294,""en"",""zh"")"),"折扣")</f>
        <v>折扣</v>
      </c>
      <c r="L294" s="4" t="str">
        <f>IFERROR(__xludf.DUMMYFUNCTION("GOOGLETRANSLATE(B294,""en"",""es"")"),"Descuento")</f>
        <v>Descuento</v>
      </c>
      <c r="M294" s="4" t="str">
        <f>IFERROR(__xludf.DUMMYFUNCTION("GOOGLETRANSLATE(B294,""en"",""iw"")"),"דִיסקוֹנט")</f>
        <v>דִיסקוֹנט</v>
      </c>
      <c r="N294" s="4" t="str">
        <f>IFERROR(__xludf.DUMMYFUNCTION("GOOGLETRANSLATE(B294,""en"",""bn"")"),"ছাড়")</f>
        <v>ছাড়</v>
      </c>
      <c r="O294" s="4" t="str">
        <f>IFERROR(__xludf.DUMMYFUNCTION("GOOGLETRANSLATE(B294,""en"",""pt"")"),"Desconto")</f>
        <v>Desconto</v>
      </c>
    </row>
    <row r="295">
      <c r="A295" s="19" t="s">
        <v>810</v>
      </c>
      <c r="B295" s="3" t="s">
        <v>811</v>
      </c>
      <c r="C295" s="4" t="str">
        <f>IFERROR(__xludf.DUMMYFUNCTION("GOOGLETRANSLATE(B295,""en"",""hi"")"),"आपके स्थान पर सेवा उपलब्ध नहीं है")</f>
        <v>आपके स्थान पर सेवा उपलब्ध नहीं है</v>
      </c>
      <c r="D295" s="4" t="str">
        <f>IFERROR(__xludf.DUMMYFUNCTION("GOOGLETRANSLATE(B295,""en"",""ar"")"),"الخدمة غير متوفرة في موقعك")</f>
        <v>الخدمة غير متوفرة في موقعك</v>
      </c>
      <c r="E295" s="4" t="str">
        <f>IFERROR(__xludf.DUMMYFUNCTION("GOOGLETRANSLATE(B295,""en"",""fr"")"),"Service non disponible dans votre région")</f>
        <v>Service non disponible dans votre région</v>
      </c>
      <c r="F295" s="4" t="str">
        <f>IFERROR(__xludf.DUMMYFUNCTION("GOOGLETRANSLATE(B295,""en"",""tr"")"),"Hizmet bulunduğunuz konumda mevcut değil")</f>
        <v>Hizmet bulunduğunuz konumda mevcut değil</v>
      </c>
      <c r="G295" s="4" t="str">
        <f>IFERROR(__xludf.DUMMYFUNCTION("GOOGLETRANSLATE(B295,""en"",""ru"")"),"Услуга недоступна в вашем регионе.")</f>
        <v>Услуга недоступна в вашем регионе.</v>
      </c>
      <c r="H295" s="4" t="str">
        <f>IFERROR(__xludf.DUMMYFUNCTION("GOOGLETRANSLATE(B295,""en"",""it"")"),"Servizio non disponibile nella tua posizione")</f>
        <v>Servizio non disponibile nella tua posizione</v>
      </c>
      <c r="I295" s="4" t="str">
        <f>IFERROR(__xludf.DUMMYFUNCTION("GOOGLETRANSLATE(B295,""en"",""de"")"),"Dienst an Ihrem Standort nicht verfügbar")</f>
        <v>Dienst an Ihrem Standort nicht verfügbar</v>
      </c>
      <c r="J295" s="4" t="str">
        <f>IFERROR(__xludf.DUMMYFUNCTION("GOOGLETRANSLATE(B295,""en"",""ko"")"),"해당 지역에서는 서비스를 이용할 수 없습니다.")</f>
        <v>해당 지역에서는 서비스를 이용할 수 없습니다.</v>
      </c>
      <c r="K295" s="4" t="str">
        <f>IFERROR(__xludf.DUMMYFUNCTION("GOOGLETRANSLATE(B295,""en"",""zh"")"),"您所在的位置无法提供服务")</f>
        <v>您所在的位置无法提供服务</v>
      </c>
      <c r="L295" s="4" t="str">
        <f>IFERROR(__xludf.DUMMYFUNCTION("GOOGLETRANSLATE(B295,""en"",""es"")"),"Servicio no disponible en tu ubicación")</f>
        <v>Servicio no disponible en tu ubicación</v>
      </c>
      <c r="M295" s="4" t="str">
        <f>IFERROR(__xludf.DUMMYFUNCTION("GOOGLETRANSLATE(B295,""en"",""iw"")"),"השירות אינו זמין במיקומך")</f>
        <v>השירות אינו זמין במיקומך</v>
      </c>
      <c r="N295" s="4" t="str">
        <f>IFERROR(__xludf.DUMMYFUNCTION("GOOGLETRANSLATE(B295,""en"",""bn"")"),"আপনার অবস্থানে পরিষেবা উপলব্ধ নেই৷")</f>
        <v>আপনার অবস্থানে পরিষেবা উপলব্ধ নেই৷</v>
      </c>
      <c r="O295" s="4" t="str">
        <f>IFERROR(__xludf.DUMMYFUNCTION("GOOGLETRANSLATE(B295,""en"",""pt"")"),"Serviço não disponível em sua localidade")</f>
        <v>Serviço não disponível em sua localidade</v>
      </c>
    </row>
    <row r="296">
      <c r="A296" s="20" t="s">
        <v>812</v>
      </c>
      <c r="B296" s="9" t="s">
        <v>813</v>
      </c>
      <c r="C296" s="4" t="str">
        <f>IFERROR(__xludf.DUMMYFUNCTION("GOOGLETRANSLATE(B296,""en"",""hi"")"),"कर सहित")</f>
        <v>कर सहित</v>
      </c>
      <c r="D296" s="4" t="str">
        <f>IFERROR(__xludf.DUMMYFUNCTION("GOOGLETRANSLATE(B296,""en"",""ar"")"),"شامل الضريبة")</f>
        <v>شامل الضريبة</v>
      </c>
      <c r="E296" s="4" t="str">
        <f>IFERROR(__xludf.DUMMYFUNCTION("GOOGLETRANSLATE(B296,""en"",""fr"")"),"TTC")</f>
        <v>TTC</v>
      </c>
      <c r="F296" s="4" t="str">
        <f>IFERROR(__xludf.DUMMYFUNCTION("GOOGLETRANSLATE(B296,""en"",""tr"")"),"VERGİ DAHİL")</f>
        <v>VERGİ DAHİL</v>
      </c>
      <c r="G296" s="4" t="str">
        <f>IFERROR(__xludf.DUMMYFUNCTION("GOOGLETRANSLATE(B296,""en"",""ru"")"),"Включая НДС")</f>
        <v>Включая НДС</v>
      </c>
      <c r="H296" s="4" t="str">
        <f>IFERROR(__xludf.DUMMYFUNCTION("GOOGLETRANSLATE(B296,""en"",""it"")"),"IVA inclusa")</f>
        <v>IVA inclusa</v>
      </c>
      <c r="I296" s="4" t="str">
        <f>IFERROR(__xludf.DUMMYFUNCTION("GOOGLETRANSLATE(B296,""en"",""de"")"),"Inklusive MwSt.")</f>
        <v>Inklusive MwSt.</v>
      </c>
      <c r="J296" s="4" t="str">
        <f>IFERROR(__xludf.DUMMYFUNCTION("GOOGLETRANSLATE(B296,""en"",""ko"")"),"세금 포함")</f>
        <v>세금 포함</v>
      </c>
      <c r="K296" s="4" t="str">
        <f>IFERROR(__xludf.DUMMYFUNCTION("GOOGLETRANSLATE(B296,""en"",""zh"")"),"含税")</f>
        <v>含税</v>
      </c>
      <c r="L296" s="4" t="str">
        <f>IFERROR(__xludf.DUMMYFUNCTION("GOOGLETRANSLATE(B296,""en"",""es"")"),"Incluye IVA")</f>
        <v>Incluye IVA</v>
      </c>
      <c r="M296" s="4" t="str">
        <f>IFERROR(__xludf.DUMMYFUNCTION("GOOGLETRANSLATE(B296,""en"",""iw"")"),"כולל מס")</f>
        <v>כולל מס</v>
      </c>
      <c r="N296" s="4" t="str">
        <f>IFERROR(__xludf.DUMMYFUNCTION("GOOGLETRANSLATE(B296,""en"",""bn"")"),"ট্যাক্স সহ")</f>
        <v>ট্যাক্স সহ</v>
      </c>
      <c r="O296" s="4" t="str">
        <f>IFERROR(__xludf.DUMMYFUNCTION("GOOGLETRANSLATE(B296,""en"",""pt"")"),"Incluindo IMPOSTO")</f>
        <v>Incluindo IMPOSTO</v>
      </c>
    </row>
    <row r="297">
      <c r="A297" s="7" t="s">
        <v>814</v>
      </c>
      <c r="B297" s="9" t="s">
        <v>815</v>
      </c>
      <c r="C297" s="4" t="str">
        <f>IFERROR(__xludf.DUMMYFUNCTION("GOOGLETRANSLATE(B297,""en"",""hi"")"),"सर्ज शुल्क")</f>
        <v>सर्ज शुल्क</v>
      </c>
      <c r="D297" s="4" t="str">
        <f>IFERROR(__xludf.DUMMYFUNCTION("GOOGLETRANSLATE(B297,""en"",""ar"")"),"رسوم الزيادة")</f>
        <v>رسوم الزيادة</v>
      </c>
      <c r="E297" s="4" t="str">
        <f>IFERROR(__xludf.DUMMYFUNCTION("GOOGLETRANSLATE(B297,""en"",""fr"")"),"Frais de surtaxe")</f>
        <v>Frais de surtaxe</v>
      </c>
      <c r="F297" s="4" t="str">
        <f>IFERROR(__xludf.DUMMYFUNCTION("GOOGLETRANSLATE(B297,""en"",""tr"")"),"Dalgalanma ücreti")</f>
        <v>Dalgalanma ücreti</v>
      </c>
      <c r="G297" s="4" t="str">
        <f>IFERROR(__xludf.DUMMYFUNCTION("GOOGLETRANSLATE(B297,""en"",""ru"")"),"Плата за всплеск нагрузки")</f>
        <v>Плата за всплеск нагрузки</v>
      </c>
      <c r="H297" s="4" t="str">
        <f>IFERROR(__xludf.DUMMYFUNCTION("GOOGLETRANSLATE(B297,""en"",""it"")"),"Tassa di sovrapprezzo")</f>
        <v>Tassa di sovrapprezzo</v>
      </c>
      <c r="I297" s="4" t="str">
        <f>IFERROR(__xludf.DUMMYFUNCTION("GOOGLETRANSLATE(B297,""en"",""de"")"),"Zuschlagsgebühr")</f>
        <v>Zuschlagsgebühr</v>
      </c>
      <c r="J297" s="4" t="str">
        <f>IFERROR(__xludf.DUMMYFUNCTION("GOOGLETRANSLATE(B297,""en"",""ko"")"),"서지 수수료")</f>
        <v>서지 수수료</v>
      </c>
      <c r="K297" s="4" t="str">
        <f>IFERROR(__xludf.DUMMYFUNCTION("GOOGLETRANSLATE(B297,""en"",""zh"")"),"加价费")</f>
        <v>加价费</v>
      </c>
      <c r="L297" s="4" t="str">
        <f>IFERROR(__xludf.DUMMYFUNCTION("GOOGLETRANSLATE(B297,""en"",""es"")"),"Tarifa por aumento")</f>
        <v>Tarifa por aumento</v>
      </c>
      <c r="M297" s="4" t="str">
        <f>IFERROR(__xludf.DUMMYFUNCTION("GOOGLETRANSLATE(B297,""en"",""iw"")"),"עמלת נחשול")</f>
        <v>עמלת נחשול</v>
      </c>
      <c r="N297" s="4" t="str">
        <f>IFERROR(__xludf.DUMMYFUNCTION("GOOGLETRANSLATE(B297,""en"",""bn"")"),"সার্জ ফি")</f>
        <v>সার্জ ফি</v>
      </c>
      <c r="O297" s="4" t="str">
        <f>IFERROR(__xludf.DUMMYFUNCTION("GOOGLETRANSLATE(B297,""en"",""pt"")"),"Taxa de pico")</f>
        <v>Taxa de pico</v>
      </c>
    </row>
    <row r="298">
      <c r="A298" s="21" t="s">
        <v>816</v>
      </c>
      <c r="B298" s="22" t="s">
        <v>817</v>
      </c>
      <c r="C298" s="4" t="str">
        <f>IFERROR(__xludf.DUMMYFUNCTION("GOOGLETRANSLATE(B298,""en"",""hi"")"),"भुगतान विधि चुनें")</f>
        <v>भुगतान विधि चुनें</v>
      </c>
      <c r="D298" s="4" t="str">
        <f>IFERROR(__xludf.DUMMYFUNCTION("GOOGLETRANSLATE(B298,""en"",""ar"")"),"اختر طريقة الدفع")</f>
        <v>اختر طريقة الدفع</v>
      </c>
      <c r="E298" s="4" t="str">
        <f>IFERROR(__xludf.DUMMYFUNCTION("GOOGLETRANSLATE(B298,""en"",""fr"")"),"Choisissez le mode de paiement")</f>
        <v>Choisissez le mode de paiement</v>
      </c>
      <c r="F298" s="4" t="str">
        <f>IFERROR(__xludf.DUMMYFUNCTION("GOOGLETRANSLATE(B298,""en"",""tr"")"),"Ödeme Yöntemini Seçin")</f>
        <v>Ödeme Yöntemini Seçin</v>
      </c>
      <c r="G298" s="4" t="str">
        <f>IFERROR(__xludf.DUMMYFUNCTION("GOOGLETRANSLATE(B298,""en"",""ru"")"),"Выберите способ оплаты")</f>
        <v>Выберите способ оплаты</v>
      </c>
      <c r="H298" s="4" t="str">
        <f>IFERROR(__xludf.DUMMYFUNCTION("GOOGLETRANSLATE(B298,""en"",""it"")"),"Scegli il metodo di pagamento")</f>
        <v>Scegli il metodo di pagamento</v>
      </c>
      <c r="I298" s="4" t="str">
        <f>IFERROR(__xludf.DUMMYFUNCTION("GOOGLETRANSLATE(B298,""en"",""de"")"),"Zahlungsmethode auswählen")</f>
        <v>Zahlungsmethode auswählen</v>
      </c>
      <c r="J298" s="4" t="str">
        <f>IFERROR(__xludf.DUMMYFUNCTION("GOOGLETRANSLATE(B298,""en"",""ko"")"),"결제 방법을 선택하세요")</f>
        <v>결제 방법을 선택하세요</v>
      </c>
      <c r="K298" s="4" t="str">
        <f>IFERROR(__xludf.DUMMYFUNCTION("GOOGLETRANSLATE(B298,""en"",""zh"")"),"选择付款方式")</f>
        <v>选择付款方式</v>
      </c>
      <c r="L298" s="4" t="str">
        <f>IFERROR(__xludf.DUMMYFUNCTION("GOOGLETRANSLATE(B298,""en"",""es"")"),"Elija el método de pago")</f>
        <v>Elija el método de pago</v>
      </c>
      <c r="M298" s="4" t="str">
        <f>IFERROR(__xludf.DUMMYFUNCTION("GOOGLETRANSLATE(B298,""en"",""iw"")"),"בחר אמצעי תשלום")</f>
        <v>בחר אמצעי תשלום</v>
      </c>
      <c r="N298" s="4" t="str">
        <f>IFERROR(__xludf.DUMMYFUNCTION("GOOGLETRANSLATE(B298,""en"",""bn"")"),"পেমেন্ট পদ্ধতি নির্বাচন করুন")</f>
        <v>পেমেন্ট পদ্ধতি নির্বাচন করুন</v>
      </c>
      <c r="O298" s="4" t="str">
        <f>IFERROR(__xludf.DUMMYFUNCTION("GOOGLETRANSLATE(B298,""en"",""pt"")"),"Escolha o método de pagamento")</f>
        <v>Escolha o método de pagamento</v>
      </c>
    </row>
    <row r="299">
      <c r="A299" s="21" t="s">
        <v>818</v>
      </c>
      <c r="B299" s="8" t="s">
        <v>819</v>
      </c>
      <c r="C299" s="4" t="str">
        <f>IFERROR(__xludf.DUMMYFUNCTION("GOOGLETRANSLATE(B299,""en"",""hi"")"),"किराये की सवारी")</f>
        <v>किराये की सवारी</v>
      </c>
      <c r="D299" s="4" t="str">
        <f>IFERROR(__xludf.DUMMYFUNCTION("GOOGLETRANSLATE(B299,""en"",""ar"")"),"تأجير سيارة")</f>
        <v>تأجير سيارة</v>
      </c>
      <c r="E299" s="4" t="str">
        <f>IFERROR(__xludf.DUMMYFUNCTION("GOOGLETRANSLATE(B299,""en"",""fr"")"),"Location de voiture")</f>
        <v>Location de voiture</v>
      </c>
      <c r="F299" s="4" t="str">
        <f>IFERROR(__xludf.DUMMYFUNCTION("GOOGLETRANSLATE(B299,""en"",""tr"")"),"Kiralık Yolculuk")</f>
        <v>Kiralık Yolculuk</v>
      </c>
      <c r="G299" s="4" t="str">
        <f>IFERROR(__xludf.DUMMYFUNCTION("GOOGLETRANSLATE(B299,""en"",""ru"")"),"Прокат автомобилей")</f>
        <v>Прокат автомобилей</v>
      </c>
      <c r="H299" s="4" t="str">
        <f>IFERROR(__xludf.DUMMYFUNCTION("GOOGLETRANSLATE(B299,""en"",""it"")"),"Noleggio auto")</f>
        <v>Noleggio auto</v>
      </c>
      <c r="I299" s="4" t="str">
        <f>IFERROR(__xludf.DUMMYFUNCTION("GOOGLETRANSLATE(B299,""en"",""de"")"),"Mietfahrt")</f>
        <v>Mietfahrt</v>
      </c>
      <c r="J299" s="4" t="str">
        <f>IFERROR(__xludf.DUMMYFUNCTION("GOOGLETRANSLATE(B299,""en"",""ko"")"),"렌탈 라이드")</f>
        <v>렌탈 라이드</v>
      </c>
      <c r="K299" s="4" t="str">
        <f>IFERROR(__xludf.DUMMYFUNCTION("GOOGLETRANSLATE(B299,""en"",""zh"")"),"租车")</f>
        <v>租车</v>
      </c>
      <c r="L299" s="4" t="str">
        <f>IFERROR(__xludf.DUMMYFUNCTION("GOOGLETRANSLATE(B299,""en"",""es"")"),"Alquiler de viajes")</f>
        <v>Alquiler de viajes</v>
      </c>
      <c r="M299" s="4" t="str">
        <f>IFERROR(__xludf.DUMMYFUNCTION("GOOGLETRANSLATE(B299,""en"",""iw"")"),"נסיעה להשכרה")</f>
        <v>נסיעה להשכרה</v>
      </c>
      <c r="N299" s="4" t="str">
        <f>IFERROR(__xludf.DUMMYFUNCTION("GOOGLETRANSLATE(B299,""en"",""bn"")"),"ভাড়ার রাইড")</f>
        <v>ভাড়ার রাইড</v>
      </c>
      <c r="O299" s="4" t="str">
        <f>IFERROR(__xludf.DUMMYFUNCTION("GOOGLETRANSLATE(B299,""en"",""pt"")"),"Passeio de aluguel")</f>
        <v>Passeio de aluguel</v>
      </c>
    </row>
    <row r="300">
      <c r="A300" s="21" t="s">
        <v>820</v>
      </c>
      <c r="B300" s="8" t="s">
        <v>821</v>
      </c>
      <c r="C300" s="4" t="str">
        <f>IFERROR(__xludf.DUMMYFUNCTION("GOOGLETRANSLATE(B300,""en"",""hi"")"),"नियमित")</f>
        <v>नियमित</v>
      </c>
      <c r="D300" s="4" t="str">
        <f>IFERROR(__xludf.DUMMYFUNCTION("GOOGLETRANSLATE(B300,""en"",""ar"")"),"عادي")</f>
        <v>عادي</v>
      </c>
      <c r="E300" s="4" t="str">
        <f>IFERROR(__xludf.DUMMYFUNCTION("GOOGLETRANSLATE(B300,""en"",""fr"")"),"Régulier")</f>
        <v>Régulier</v>
      </c>
      <c r="F300" s="4" t="str">
        <f>IFERROR(__xludf.DUMMYFUNCTION("GOOGLETRANSLATE(B300,""en"",""tr"")"),"Düzenli")</f>
        <v>Düzenli</v>
      </c>
      <c r="G300" s="4" t="str">
        <f>IFERROR(__xludf.DUMMYFUNCTION("GOOGLETRANSLATE(B300,""en"",""ru"")"),"Обычный")</f>
        <v>Обычный</v>
      </c>
      <c r="H300" s="4" t="str">
        <f>IFERROR(__xludf.DUMMYFUNCTION("GOOGLETRANSLATE(B300,""en"",""it"")"),"Regolare")</f>
        <v>Regolare</v>
      </c>
      <c r="I300" s="4" t="str">
        <f>IFERROR(__xludf.DUMMYFUNCTION("GOOGLETRANSLATE(B300,""en"",""de"")"),"Regulär")</f>
        <v>Regulär</v>
      </c>
      <c r="J300" s="4" t="str">
        <f>IFERROR(__xludf.DUMMYFUNCTION("GOOGLETRANSLATE(B300,""en"",""ko"")"),"정기적인")</f>
        <v>정기적인</v>
      </c>
      <c r="K300" s="4" t="str">
        <f>IFERROR(__xludf.DUMMYFUNCTION("GOOGLETRANSLATE(B300,""en"",""zh"")"),"常规的")</f>
        <v>常规的</v>
      </c>
      <c r="L300" s="4" t="str">
        <f>IFERROR(__xludf.DUMMYFUNCTION("GOOGLETRANSLATE(B300,""en"",""es"")"),"Regular")</f>
        <v>Regular</v>
      </c>
      <c r="M300" s="4" t="str">
        <f>IFERROR(__xludf.DUMMYFUNCTION("GOOGLETRANSLATE(B300,""en"",""iw"")"),"קָבוּעַ")</f>
        <v>קָבוּעַ</v>
      </c>
      <c r="N300" s="4" t="str">
        <f>IFERROR(__xludf.DUMMYFUNCTION("GOOGLETRANSLATE(B300,""en"",""bn"")"),"নিয়মিত")</f>
        <v>নিয়মিত</v>
      </c>
      <c r="O300" s="4" t="str">
        <f>IFERROR(__xludf.DUMMYFUNCTION("GOOGLETRANSLATE(B300,""en"",""pt"")"),"Regular")</f>
        <v>Regular</v>
      </c>
    </row>
    <row r="301">
      <c r="A301" s="21" t="s">
        <v>822</v>
      </c>
      <c r="B301" s="8" t="s">
        <v>823</v>
      </c>
      <c r="C301" s="4" t="str">
        <f>IFERROR(__xludf.DUMMYFUNCTION("GOOGLETRANSLATE(B301,""en"",""hi"")"),"पैकेज का नाम")</f>
        <v>पैकेज का नाम</v>
      </c>
      <c r="D301" s="4" t="str">
        <f>IFERROR(__xludf.DUMMYFUNCTION("GOOGLETRANSLATE(B301,""en"",""ar"")"),"اسم الحزمة")</f>
        <v>اسم الحزمة</v>
      </c>
      <c r="E301" s="4" t="str">
        <f>IFERROR(__xludf.DUMMYFUNCTION("GOOGLETRANSLATE(B301,""en"",""fr"")"),"Nom du package")</f>
        <v>Nom du package</v>
      </c>
      <c r="F301" s="4" t="str">
        <f>IFERROR(__xludf.DUMMYFUNCTION("GOOGLETRANSLATE(B301,""en"",""tr"")"),"Paket Adı")</f>
        <v>Paket Adı</v>
      </c>
      <c r="G301" s="4" t="str">
        <f>IFERROR(__xludf.DUMMYFUNCTION("GOOGLETRANSLATE(B301,""en"",""ru"")"),"Имя пакета")</f>
        <v>Имя пакета</v>
      </c>
      <c r="H301" s="4" t="str">
        <f>IFERROR(__xludf.DUMMYFUNCTION("GOOGLETRANSLATE(B301,""en"",""it"")"),"Nome del pacchetto")</f>
        <v>Nome del pacchetto</v>
      </c>
      <c r="I301" s="4" t="str">
        <f>IFERROR(__xludf.DUMMYFUNCTION("GOOGLETRANSLATE(B301,""en"",""de"")"),"Paketname")</f>
        <v>Paketname</v>
      </c>
      <c r="J301" s="4" t="str">
        <f>IFERROR(__xludf.DUMMYFUNCTION("GOOGLETRANSLATE(B301,""en"",""ko"")"),"패키지 이름")</f>
        <v>패키지 이름</v>
      </c>
      <c r="K301" s="4" t="str">
        <f>IFERROR(__xludf.DUMMYFUNCTION("GOOGLETRANSLATE(B301,""en"",""zh"")"),"软件包名称")</f>
        <v>软件包名称</v>
      </c>
      <c r="L301" s="4" t="str">
        <f>IFERROR(__xludf.DUMMYFUNCTION("GOOGLETRANSLATE(B301,""en"",""es"")"),"Nombre del paquete")</f>
        <v>Nombre del paquete</v>
      </c>
      <c r="M301" s="4" t="str">
        <f>IFERROR(__xludf.DUMMYFUNCTION("GOOGLETRANSLATE(B301,""en"",""iw"")"),"שם החבילה")</f>
        <v>שם החבילה</v>
      </c>
      <c r="N301" s="4" t="str">
        <f>IFERROR(__xludf.DUMMYFUNCTION("GOOGLETRANSLATE(B301,""en"",""bn"")"),"প্যাকেজের নাম")</f>
        <v>প্যাকেজের নাম</v>
      </c>
      <c r="O301" s="4" t="str">
        <f>IFERROR(__xludf.DUMMYFUNCTION("GOOGLETRANSLATE(B301,""en"",""pt"")"),"Nome do pacote")</f>
        <v>Nome do pacote</v>
      </c>
    </row>
    <row r="302">
      <c r="A302" s="21" t="s">
        <v>824</v>
      </c>
      <c r="B302" s="22" t="s">
        <v>825</v>
      </c>
      <c r="C302" s="4" t="str">
        <f>IFERROR(__xludf.DUMMYFUNCTION("GOOGLETRANSLATE(B302,""en"",""hi"")"),"कृपया मान्य रेफरल कोड दर्ज करें")</f>
        <v>कृपया मान्य रेफरल कोड दर्ज करें</v>
      </c>
      <c r="D302" s="4" t="str">
        <f>IFERROR(__xludf.DUMMYFUNCTION("GOOGLETRANSLATE(B302,""en"",""ar"")"),"الرجاء إدخال رمز الإحالة الصحيح")</f>
        <v>الرجاء إدخال رمز الإحالة الصحيح</v>
      </c>
      <c r="E302" s="4" t="str">
        <f>IFERROR(__xludf.DUMMYFUNCTION("GOOGLETRANSLATE(B302,""en"",""fr"")"),"veuillez saisir un code de parrainage valide")</f>
        <v>veuillez saisir un code de parrainage valide</v>
      </c>
      <c r="F302" s="4" t="str">
        <f>IFERROR(__xludf.DUMMYFUNCTION("GOOGLETRANSLATE(B302,""en"",""tr"")"),"lütfen geçerli bir yönlendirme kodu girin")</f>
        <v>lütfen geçerli bir yönlendirme kodu girin</v>
      </c>
      <c r="G302" s="4" t="str">
        <f>IFERROR(__xludf.DUMMYFUNCTION("GOOGLETRANSLATE(B302,""en"",""ru"")"),"пожалуйста, введите действительный реферальный код")</f>
        <v>пожалуйста, введите действительный реферальный код</v>
      </c>
      <c r="H302" s="4" t="str">
        <f>IFERROR(__xludf.DUMMYFUNCTION("GOOGLETRANSLATE(B302,""en"",""it"")"),"inserisci un codice di riferimento valido")</f>
        <v>inserisci un codice di riferimento valido</v>
      </c>
      <c r="I302" s="4" t="str">
        <f>IFERROR(__xludf.DUMMYFUNCTION("GOOGLETRANSLATE(B302,""en"",""de"")"),"Bitte geben Sie einen gültigen Empfehlungscode ein")</f>
        <v>Bitte geben Sie einen gültigen Empfehlungscode ein</v>
      </c>
      <c r="J302" s="4" t="str">
        <f>IFERROR(__xludf.DUMMYFUNCTION("GOOGLETRANSLATE(B302,""en"",""ko"")"),"유효한 추천 코드를 입력하세요")</f>
        <v>유효한 추천 코드를 입력하세요</v>
      </c>
      <c r="K302" s="4" t="str">
        <f>IFERROR(__xludf.DUMMYFUNCTION("GOOGLETRANSLATE(B302,""en"",""zh"")"),"请输入有效的推荐代码")</f>
        <v>请输入有效的推荐代码</v>
      </c>
      <c r="L302" s="4" t="str">
        <f>IFERROR(__xludf.DUMMYFUNCTION("GOOGLETRANSLATE(B302,""en"",""es"")"),"Por favor ingrese un código de referencia válido")</f>
        <v>Por favor ingrese un código de referencia válido</v>
      </c>
      <c r="M302" s="4" t="str">
        <f>IFERROR(__xludf.DUMMYFUNCTION("GOOGLETRANSLATE(B302,""en"",""iw"")"),"אנא הזן קוד הפניה חוקי")</f>
        <v>אנא הזן קוד הפניה חוקי</v>
      </c>
      <c r="N302" s="4" t="str">
        <f>IFERROR(__xludf.DUMMYFUNCTION("GOOGLETRANSLATE(B302,""en"",""bn"")"),"বৈধ রেফারেল কোড লিখুন দয়া করে")</f>
        <v>বৈধ রেফারেল কোড লিখুন দয়া করে</v>
      </c>
      <c r="O302" s="4" t="str">
        <f>IFERROR(__xludf.DUMMYFUNCTION("GOOGLETRANSLATE(B302,""en"",""pt"")"),"por favor insira um código de referência válido")</f>
        <v>por favor insira um código de referência válido</v>
      </c>
    </row>
    <row r="303">
      <c r="A303" s="21" t="s">
        <v>826</v>
      </c>
      <c r="B303" s="22" t="s">
        <v>827</v>
      </c>
      <c r="C303" s="4" t="str">
        <f>IFERROR(__xludf.DUMMYFUNCTION("GOOGLETRANSLATE(B303,""en"",""hi"")"),"ड्राइवर आता है")</f>
        <v>ड्राइवर आता है</v>
      </c>
      <c r="D303" s="4" t="str">
        <f>IFERROR(__xludf.DUMMYFUNCTION("GOOGLETRANSLATE(B303,""en"",""ar"")"),"يصل السائق إلى")</f>
        <v>يصل السائق إلى</v>
      </c>
      <c r="E303" s="4" t="str">
        <f>IFERROR(__xludf.DUMMYFUNCTION("GOOGLETRANSLATE(B303,""en"",""fr"")"),"Le chauffeur arrive")</f>
        <v>Le chauffeur arrive</v>
      </c>
      <c r="F303" s="4" t="str">
        <f>IFERROR(__xludf.DUMMYFUNCTION("GOOGLETRANSLATE(B303,""en"",""tr"")"),"Sürücü geldi")</f>
        <v>Sürücü geldi</v>
      </c>
      <c r="G303" s="4" t="str">
        <f>IFERROR(__xludf.DUMMYFUNCTION("GOOGLETRANSLATE(B303,""en"",""ru"")"),"Водитель прибывает в")</f>
        <v>Водитель прибывает в</v>
      </c>
      <c r="H303" s="4" t="str">
        <f>IFERROR(__xludf.DUMMYFUNCTION("GOOGLETRANSLATE(B303,""en"",""it"")"),"L'autista arriva a")</f>
        <v>L'autista arriva a</v>
      </c>
      <c r="I303" s="4" t="str">
        <f>IFERROR(__xludf.DUMMYFUNCTION("GOOGLETRANSLATE(B303,""en"",""de"")"),"Fahrer kommt in")</f>
        <v>Fahrer kommt in</v>
      </c>
      <c r="J303" s="4" t="str">
        <f>IFERROR(__xludf.DUMMYFUNCTION("GOOGLETRANSLATE(B303,""en"",""ko"")"),"운전자가 도착합니다")</f>
        <v>운전자가 도착합니다</v>
      </c>
      <c r="K303" s="4" t="str">
        <f>IFERROR(__xludf.DUMMYFUNCTION("GOOGLETRANSLATE(B303,""en"",""zh"")"),"司机到达")</f>
        <v>司机到达</v>
      </c>
      <c r="L303" s="4" t="str">
        <f>IFERROR(__xludf.DUMMYFUNCTION("GOOGLETRANSLATE(B303,""en"",""es"")"),"El conductor llega a")</f>
        <v>El conductor llega a</v>
      </c>
      <c r="M303" s="4" t="str">
        <f>IFERROR(__xludf.DUMMYFUNCTION("GOOGLETRANSLATE(B303,""en"",""iw"")"),"נהג נכנס")</f>
        <v>נהג נכנס</v>
      </c>
      <c r="N303" s="4" t="str">
        <f>IFERROR(__xludf.DUMMYFUNCTION("GOOGLETRANSLATE(B303,""en"",""bn"")"),"ড্রাইভার আসে")</f>
        <v>ড্রাইভার আসে</v>
      </c>
      <c r="O303" s="4" t="str">
        <f>IFERROR(__xludf.DUMMYFUNCTION("GOOGLETRANSLATE(B303,""en"",""pt"")"),"O motorista chega em")</f>
        <v>O motorista chega em</v>
      </c>
    </row>
    <row r="304">
      <c r="A304" s="21" t="s">
        <v>828</v>
      </c>
      <c r="B304" s="22" t="s">
        <v>829</v>
      </c>
      <c r="C304" s="4" t="str">
        <f>IFERROR(__xludf.DUMMYFUNCTION("GOOGLETRANSLATE(B304,""en"",""hi"")"),"कृपया सही ईमेल पता दें")</f>
        <v>कृपया सही ईमेल पता दें</v>
      </c>
      <c r="D304" s="4" t="str">
        <f>IFERROR(__xludf.DUMMYFUNCTION("GOOGLETRANSLATE(B304,""en"",""ar"")"),"الرجاء إدخال عنوان بريد إلكتروني صالح")</f>
        <v>الرجاء إدخال عنوان بريد إلكتروني صالح</v>
      </c>
      <c r="E304" s="4" t="str">
        <f>IFERROR(__xludf.DUMMYFUNCTION("GOOGLETRANSLATE(B304,""en"",""fr"")"),"Veuillez saisir une adresse e-mail valide")</f>
        <v>Veuillez saisir une adresse e-mail valide</v>
      </c>
      <c r="F304" s="4" t="str">
        <f>IFERROR(__xludf.DUMMYFUNCTION("GOOGLETRANSLATE(B304,""en"",""tr"")"),"Lütfen geçerli bir e-posta adresi girin")</f>
        <v>Lütfen geçerli bir e-posta adresi girin</v>
      </c>
      <c r="G304" s="4" t="str">
        <f>IFERROR(__xludf.DUMMYFUNCTION("GOOGLETRANSLATE(B304,""en"",""ru"")"),"Пожалуйста, введите действительный адрес электронной почты")</f>
        <v>Пожалуйста, введите действительный адрес электронной почты</v>
      </c>
      <c r="H304" s="4" t="str">
        <f>IFERROR(__xludf.DUMMYFUNCTION("GOOGLETRANSLATE(B304,""en"",""it"")"),"Inserisci un indirizzo email valido")</f>
        <v>Inserisci un indirizzo email valido</v>
      </c>
      <c r="I304" s="4" t="str">
        <f>IFERROR(__xludf.DUMMYFUNCTION("GOOGLETRANSLATE(B304,""en"",""de"")"),"Bitte geben Sie eine gültige E-Mail-Adresse ein")</f>
        <v>Bitte geben Sie eine gültige E-Mail-Adresse ein</v>
      </c>
      <c r="J304" s="4" t="str">
        <f>IFERROR(__xludf.DUMMYFUNCTION("GOOGLETRANSLATE(B304,""en"",""ko"")"),"유효한 이메일 주소를 입력하세요")</f>
        <v>유효한 이메일 주소를 입력하세요</v>
      </c>
      <c r="K304" s="4" t="str">
        <f>IFERROR(__xludf.DUMMYFUNCTION("GOOGLETRANSLATE(B304,""en"",""zh"")"),"请输入有效的电子邮件地址")</f>
        <v>请输入有效的电子邮件地址</v>
      </c>
      <c r="L304" s="4" t="str">
        <f>IFERROR(__xludf.DUMMYFUNCTION("GOOGLETRANSLATE(B304,""en"",""es"")"),"Por favor, introduzca una dirección de correo electrónico válida")</f>
        <v>Por favor, introduzca una dirección de correo electrónico válida</v>
      </c>
      <c r="M304" s="4" t="str">
        <f>IFERROR(__xludf.DUMMYFUNCTION("GOOGLETRANSLATE(B304,""en"",""iw"")"),"נא להזין כתובת אימייל חוקית")</f>
        <v>נא להזין כתובת אימייל חוקית</v>
      </c>
      <c r="N304" s="4" t="str">
        <f>IFERROR(__xludf.DUMMYFUNCTION("GOOGLETRANSLATE(B304,""en"",""bn"")"),"বৈধ ইমেল ঠিকানা লিখুন")</f>
        <v>বৈধ ইমেল ঠিকানা লিখুন</v>
      </c>
      <c r="O304" s="4" t="str">
        <f>IFERROR(__xludf.DUMMYFUNCTION("GOOGLETRANSLATE(B304,""en"",""pt"")"),"Por favor, insira um endereço de e-mail válido")</f>
        <v>Por favor, insira um endereço de e-mail válido</v>
      </c>
    </row>
    <row r="305">
      <c r="A305" s="21" t="s">
        <v>830</v>
      </c>
      <c r="B305" s="22" t="s">
        <v>831</v>
      </c>
      <c r="C305" s="4" t="str">
        <f>IFERROR(__xludf.DUMMYFUNCTION("GOOGLETRANSLATE(B305,""en"",""hi"")"),"खाता हटा दो")</f>
        <v>खाता हटा दो</v>
      </c>
      <c r="D305" s="4" t="str">
        <f>IFERROR(__xludf.DUMMYFUNCTION("GOOGLETRANSLATE(B305,""en"",""ar"")"),"حذف الحساب")</f>
        <v>حذف الحساب</v>
      </c>
      <c r="E305" s="4" t="str">
        <f>IFERROR(__xludf.DUMMYFUNCTION("GOOGLETRANSLATE(B305,""en"",""fr"")"),"Supprimer le compte")</f>
        <v>Supprimer le compte</v>
      </c>
      <c r="F305" s="4" t="str">
        <f>IFERROR(__xludf.DUMMYFUNCTION("GOOGLETRANSLATE(B305,""en"",""tr"")"),"Hesabı Sil")</f>
        <v>Hesabı Sil</v>
      </c>
      <c r="G305" s="4" t="str">
        <f>IFERROR(__xludf.DUMMYFUNCTION("GOOGLETRANSLATE(B305,""en"",""ru"")"),"Удалить аккаунт")</f>
        <v>Удалить аккаунт</v>
      </c>
      <c r="H305" s="4" t="str">
        <f>IFERROR(__xludf.DUMMYFUNCTION("GOOGLETRANSLATE(B305,""en"",""it"")"),"Elimina account")</f>
        <v>Elimina account</v>
      </c>
      <c r="I305" s="4" t="str">
        <f>IFERROR(__xludf.DUMMYFUNCTION("GOOGLETRANSLATE(B305,""en"",""de"")"),"Konto löschen")</f>
        <v>Konto löschen</v>
      </c>
      <c r="J305" s="4" t="str">
        <f>IFERROR(__xludf.DUMMYFUNCTION("GOOGLETRANSLATE(B305,""en"",""ko"")"),"계정 삭제")</f>
        <v>계정 삭제</v>
      </c>
      <c r="K305" s="4" t="str">
        <f>IFERROR(__xludf.DUMMYFUNCTION("GOOGLETRANSLATE(B305,""en"",""zh"")"),"删除帐户")</f>
        <v>删除帐户</v>
      </c>
      <c r="L305" s="4" t="str">
        <f>IFERROR(__xludf.DUMMYFUNCTION("GOOGLETRANSLATE(B305,""en"",""es"")"),"Eliminar cuenta")</f>
        <v>Eliminar cuenta</v>
      </c>
      <c r="M305" s="4" t="str">
        <f>IFERROR(__xludf.DUMMYFUNCTION("GOOGLETRANSLATE(B305,""en"",""iw"")"),"מחק חשבון")</f>
        <v>מחק חשבון</v>
      </c>
      <c r="N305" s="4" t="str">
        <f>IFERROR(__xludf.DUMMYFUNCTION("GOOGLETRANSLATE(B305,""en"",""bn"")"),"অ্যাকাউন্ট মুছুন")</f>
        <v>অ্যাকাউন্ট মুছুন</v>
      </c>
      <c r="O305" s="4" t="str">
        <f>IFERROR(__xludf.DUMMYFUNCTION("GOOGLETRANSLATE(B305,""en"",""pt"")"),"Excluir conta")</f>
        <v>Excluir conta</v>
      </c>
    </row>
    <row r="306">
      <c r="A306" s="21" t="s">
        <v>832</v>
      </c>
      <c r="B306" s="22" t="s">
        <v>833</v>
      </c>
      <c r="C306" s="4" t="str">
        <f>IFERROR(__xludf.DUMMYFUNCTION("GOOGLETRANSLATE(B306,""en"",""hi"")"),"30 दिनों के बाद आपका खाता स्थायी रूप से हटा दिया जाएगा")</f>
        <v>30 दिनों के बाद आपका खाता स्थायी रूप से हटा दिया जाएगा</v>
      </c>
      <c r="D306" s="4" t="str">
        <f>IFERROR(__xludf.DUMMYFUNCTION("GOOGLETRANSLATE(B306,""en"",""ar"")"),"بعد 30 يومًا سيتم حذف حسابك نهائيًا")</f>
        <v>بعد 30 يومًا سيتم حذف حسابك نهائيًا</v>
      </c>
      <c r="E306" s="4" t="str">
        <f>IFERROR(__xludf.DUMMYFUNCTION("GOOGLETRANSLATE(B306,""en"",""fr"")"),"Après 30 jours, votre compte sera supprimé définitivement")</f>
        <v>Après 30 jours, votre compte sera supprimé définitivement</v>
      </c>
      <c r="F306" s="4" t="str">
        <f>IFERROR(__xludf.DUMMYFUNCTION("GOOGLETRANSLATE(B306,""en"",""tr"")"),"30 gün sonra Hesabınız Kalıcı Olarak Silinecektir")</f>
        <v>30 gün sonra Hesabınız Kalıcı Olarak Silinecektir</v>
      </c>
      <c r="G306" s="4" t="str">
        <f>IFERROR(__xludf.DUMMYFUNCTION("GOOGLETRANSLATE(B306,""en"",""ru"")"),"Через 30 дней ваша учетная запись будет удалена навсегда.")</f>
        <v>Через 30 дней ваша учетная запись будет удалена навсегда.</v>
      </c>
      <c r="H306" s="4" t="str">
        <f>IFERROR(__xludf.DUMMYFUNCTION("GOOGLETRANSLATE(B306,""en"",""it"")"),"Dopo 30 giorni il tuo account verrà eliminato definitivamente")</f>
        <v>Dopo 30 giorni il tuo account verrà eliminato definitivamente</v>
      </c>
      <c r="I306" s="4" t="str">
        <f>IFERROR(__xludf.DUMMYFUNCTION("GOOGLETRANSLATE(B306,""en"",""de"")"),"Nach 30 Tagen wird Ihr Konto dauerhaft gelöscht")</f>
        <v>Nach 30 Tagen wird Ihr Konto dauerhaft gelöscht</v>
      </c>
      <c r="J306" s="4" t="str">
        <f>IFERROR(__xludf.DUMMYFUNCTION("GOOGLETRANSLATE(B306,""en"",""ko"")"),"30일 후에는 귀하의 계정이 영구적으로 삭제됩니다.")</f>
        <v>30일 후에는 귀하의 계정이 영구적으로 삭제됩니다.</v>
      </c>
      <c r="K306" s="4" t="str">
        <f>IFERROR(__xludf.DUMMYFUNCTION("GOOGLETRANSLATE(B306,""en"",""zh"")"),"30天后您的帐户将被永久删除")</f>
        <v>30天后您的帐户将被永久删除</v>
      </c>
      <c r="L306" s="4" t="str">
        <f>IFERROR(__xludf.DUMMYFUNCTION("GOOGLETRANSLATE(B306,""en"",""es"")"),"Después de 30 días, su cuenta será eliminada permanentemente")</f>
        <v>Después de 30 días, su cuenta será eliminada permanentemente</v>
      </c>
      <c r="M306" s="4" t="str">
        <f>IFERROR(__xludf.DUMMYFUNCTION("GOOGLETRANSLATE(B306,""en"",""iw"")"),"לאחר 30 יום החשבון שלך יימחק לצמיתות")</f>
        <v>לאחר 30 יום החשבון שלך יימחק לצמיתות</v>
      </c>
      <c r="N306" s="4" t="str">
        <f>IFERROR(__xludf.DUMMYFUNCTION("GOOGLETRANSLATE(B306,""en"",""bn"")"),"30 দিন পরে আপনার অ্যাকাউন্ট স্থায়ীভাবে মুছে ফেলা হবে")</f>
        <v>30 দিন পরে আপনার অ্যাকাউন্ট স্থায়ীভাবে মুছে ফেলা হবে</v>
      </c>
      <c r="O306" s="4" t="str">
        <f>IFERROR(__xludf.DUMMYFUNCTION("GOOGLETRANSLATE(B306,""en"",""pt"")"),"Após 30 dias, sua conta será excluída permanentemente")</f>
        <v>Após 30 dias, sua conta será excluída permanentemente</v>
      </c>
    </row>
    <row r="307">
      <c r="A307" s="21" t="s">
        <v>834</v>
      </c>
      <c r="B307" s="22" t="s">
        <v>835</v>
      </c>
      <c r="C307" s="4" t="str">
        <f>IFERROR(__xludf.DUMMYFUNCTION("GOOGLETRANSLATE(B307,""en"",""hi"")"),"रद्द करने का कारण जोड़ें")</f>
        <v>रद्द करने का कारण जोड़ें</v>
      </c>
      <c r="D307" s="4" t="str">
        <f>IFERROR(__xludf.DUMMYFUNCTION("GOOGLETRANSLATE(B307,""en"",""ar"")"),"إضافة سبب الإلغاء")</f>
        <v>إضافة سبب الإلغاء</v>
      </c>
      <c r="E307" s="4" t="str">
        <f>IFERROR(__xludf.DUMMYFUNCTION("GOOGLETRANSLATE(B307,""en"",""fr"")"),"Ajouter une raison d'annulation")</f>
        <v>Ajouter une raison d'annulation</v>
      </c>
      <c r="F307" s="4" t="str">
        <f>IFERROR(__xludf.DUMMYFUNCTION("GOOGLETRANSLATE(B307,""en"",""tr"")"),"İptal Nedeni Ekle")</f>
        <v>İptal Nedeni Ekle</v>
      </c>
      <c r="G307" s="4" t="str">
        <f>IFERROR(__xludf.DUMMYFUNCTION("GOOGLETRANSLATE(B307,""en"",""ru"")"),"Добавить причину отмены")</f>
        <v>Добавить причину отмены</v>
      </c>
      <c r="H307" s="4" t="str">
        <f>IFERROR(__xludf.DUMMYFUNCTION("GOOGLETRANSLATE(B307,""en"",""it"")"),"Aggiungi motivo di annullamento")</f>
        <v>Aggiungi motivo di annullamento</v>
      </c>
      <c r="I307" s="4" t="str">
        <f>IFERROR(__xludf.DUMMYFUNCTION("GOOGLETRANSLATE(B307,""en"",""de"")"),"Abbruchgrund hinzufügen")</f>
        <v>Abbruchgrund hinzufügen</v>
      </c>
      <c r="J307" s="4" t="str">
        <f>IFERROR(__xludf.DUMMYFUNCTION("GOOGLETRANSLATE(B307,""en"",""ko"")"),"취소 사유 추가")</f>
        <v>취소 사유 추가</v>
      </c>
      <c r="K307" s="4" t="str">
        <f>IFERROR(__xludf.DUMMYFUNCTION("GOOGLETRANSLATE(B307,""en"",""zh"")"),"添加取消原因")</f>
        <v>添加取消原因</v>
      </c>
      <c r="L307" s="4" t="str">
        <f>IFERROR(__xludf.DUMMYFUNCTION("GOOGLETRANSLATE(B307,""en"",""es"")"),"Agregar motivo de cancelación")</f>
        <v>Agregar motivo de cancelación</v>
      </c>
      <c r="M307" s="4" t="str">
        <f>IFERROR(__xludf.DUMMYFUNCTION("GOOGLETRANSLATE(B307,""en"",""iw"")"),"הוסף סיבה לביטול")</f>
        <v>הוסף סיבה לביטול</v>
      </c>
      <c r="N307" s="4" t="str">
        <f>IFERROR(__xludf.DUMMYFUNCTION("GOOGLETRANSLATE(B307,""en"",""bn"")"),"বাতিল কারণ যোগ করুন")</f>
        <v>বাতিল কারণ যোগ করুন</v>
      </c>
      <c r="O307" s="4" t="str">
        <f>IFERROR(__xludf.DUMMYFUNCTION("GOOGLETRANSLATE(B307,""en"",""pt"")"),"Adicionar motivo de cancelamento")</f>
        <v>Adicionar motivo de cancelamento</v>
      </c>
    </row>
    <row r="308">
      <c r="A308" s="21" t="s">
        <v>836</v>
      </c>
      <c r="B308" s="22" t="s">
        <v>837</v>
      </c>
      <c r="C308" s="4" t="str">
        <f>IFERROR(__xludf.DUMMYFUNCTION("GOOGLETRANSLATE(B308,""en"",""hi"")"),"साथ बात")</f>
        <v>साथ बात</v>
      </c>
      <c r="D308" s="4" t="str">
        <f>IFERROR(__xludf.DUMMYFUNCTION("GOOGLETRANSLATE(B308,""en"",""ar"")"),"الدردشة مع")</f>
        <v>الدردشة مع</v>
      </c>
      <c r="E308" s="4" t="str">
        <f>IFERROR(__xludf.DUMMYFUNCTION("GOOGLETRANSLATE(B308,""en"",""fr"")"),"Discuter avec")</f>
        <v>Discuter avec</v>
      </c>
      <c r="F308" s="4" t="str">
        <f>IFERROR(__xludf.DUMMYFUNCTION("GOOGLETRANSLATE(B308,""en"",""tr"")"),"Sohbet et")</f>
        <v>Sohbet et</v>
      </c>
      <c r="G308" s="4" t="str">
        <f>IFERROR(__xludf.DUMMYFUNCTION("GOOGLETRANSLATE(B308,""en"",""ru"")"),"Пообщайтесь с")</f>
        <v>Пообщайтесь с</v>
      </c>
      <c r="H308" s="4" t="str">
        <f>IFERROR(__xludf.DUMMYFUNCTION("GOOGLETRANSLATE(B308,""en"",""it"")"),"Chatta con")</f>
        <v>Chatta con</v>
      </c>
      <c r="I308" s="4" t="str">
        <f>IFERROR(__xludf.DUMMYFUNCTION("GOOGLETRANSLATE(B308,""en"",""de"")"),"Chatten mit")</f>
        <v>Chatten mit</v>
      </c>
      <c r="J308" s="4" t="str">
        <f>IFERROR(__xludf.DUMMYFUNCTION("GOOGLETRANSLATE(B308,""en"",""ko"")"),"채팅하다")</f>
        <v>채팅하다</v>
      </c>
      <c r="K308" s="4" t="str">
        <f>IFERROR(__xludf.DUMMYFUNCTION("GOOGLETRANSLATE(B308,""en"",""zh"")"),"与聊天")</f>
        <v>与聊天</v>
      </c>
      <c r="L308" s="4" t="str">
        <f>IFERROR(__xludf.DUMMYFUNCTION("GOOGLETRANSLATE(B308,""en"",""es"")"),"Chatear con")</f>
        <v>Chatear con</v>
      </c>
      <c r="M308" s="4" t="str">
        <f>IFERROR(__xludf.DUMMYFUNCTION("GOOGLETRANSLATE(B308,""en"",""iw"")"),"צ'אט עם")</f>
        <v>צ'אט עם</v>
      </c>
      <c r="N308" s="4" t="str">
        <f>IFERROR(__xludf.DUMMYFUNCTION("GOOGLETRANSLATE(B308,""en"",""bn"")"),"সাথে চ্যাট করুন")</f>
        <v>সাথে চ্যাট করুন</v>
      </c>
      <c r="O308" s="4" t="str">
        <f>IFERROR(__xludf.DUMMYFUNCTION("GOOGLETRANSLATE(B308,""en"",""pt"")"),"Bate-papo com")</f>
        <v>Bate-papo com</v>
      </c>
    </row>
    <row r="309">
      <c r="A309" s="21" t="s">
        <v>838</v>
      </c>
      <c r="B309" s="22" t="s">
        <v>839</v>
      </c>
      <c r="C309" s="4" t="str">
        <f>IFERROR(__xludf.DUMMYFUNCTION("GOOGLETRANSLATE(B309,""en"",""hi"")"),"उपलब्ध")</f>
        <v>उपलब्ध</v>
      </c>
      <c r="D309" s="4" t="str">
        <f>IFERROR(__xludf.DUMMYFUNCTION("GOOGLETRANSLATE(B309,""en"",""ar"")"),"متاح")</f>
        <v>متاح</v>
      </c>
      <c r="E309" s="4" t="str">
        <f>IFERROR(__xludf.DUMMYFUNCTION("GOOGLETRANSLATE(B309,""en"",""fr"")"),"Disponible")</f>
        <v>Disponible</v>
      </c>
      <c r="F309" s="4" t="str">
        <f>IFERROR(__xludf.DUMMYFUNCTION("GOOGLETRANSLATE(B309,""en"",""tr"")"),"Mevcut")</f>
        <v>Mevcut</v>
      </c>
      <c r="G309" s="4" t="str">
        <f>IFERROR(__xludf.DUMMYFUNCTION("GOOGLETRANSLATE(B309,""en"",""ru"")"),"Доступный")</f>
        <v>Доступный</v>
      </c>
      <c r="H309" s="4" t="str">
        <f>IFERROR(__xludf.DUMMYFUNCTION("GOOGLETRANSLATE(B309,""en"",""it"")"),"Disponibile")</f>
        <v>Disponibile</v>
      </c>
      <c r="I309" s="4" t="str">
        <f>IFERROR(__xludf.DUMMYFUNCTION("GOOGLETRANSLATE(B309,""en"",""de"")"),"Verfügbar")</f>
        <v>Verfügbar</v>
      </c>
      <c r="J309" s="4" t="str">
        <f>IFERROR(__xludf.DUMMYFUNCTION("GOOGLETRANSLATE(B309,""en"",""ko"")"),"사용 가능")</f>
        <v>사용 가능</v>
      </c>
      <c r="K309" s="4" t="str">
        <f>IFERROR(__xludf.DUMMYFUNCTION("GOOGLETRANSLATE(B309,""en"",""zh"")"),"可用的")</f>
        <v>可用的</v>
      </c>
      <c r="L309" s="4" t="str">
        <f>IFERROR(__xludf.DUMMYFUNCTION("GOOGLETRANSLATE(B309,""en"",""es"")"),"Disponible")</f>
        <v>Disponible</v>
      </c>
      <c r="M309" s="4" t="str">
        <f>IFERROR(__xludf.DUMMYFUNCTION("GOOGLETRANSLATE(B309,""en"",""iw"")"),"זָמִין")</f>
        <v>זָמִין</v>
      </c>
      <c r="N309" s="4" t="str">
        <f>IFERROR(__xludf.DUMMYFUNCTION("GOOGLETRANSLATE(B309,""en"",""bn"")"),"পাওয়া যায়")</f>
        <v>পাওয়া যায়</v>
      </c>
      <c r="O309" s="4" t="str">
        <f>IFERROR(__xludf.DUMMYFUNCTION("GOOGLETRANSLATE(B309,""en"",""pt"")"),"Disponível")</f>
        <v>Disponível</v>
      </c>
    </row>
    <row r="310">
      <c r="A310" s="21" t="s">
        <v>840</v>
      </c>
      <c r="B310" s="22" t="s">
        <v>841</v>
      </c>
      <c r="C310" s="4" t="str">
        <f>IFERROR(__xludf.DUMMYFUNCTION("GOOGLETRANSLATE(B310,""en"",""hi"")"),"सवार")</f>
        <v>सवार</v>
      </c>
      <c r="D310" s="4" t="str">
        <f>IFERROR(__xludf.DUMMYFUNCTION("GOOGLETRANSLATE(B310,""en"",""ar"")"),"صعد على متنها")</f>
        <v>صعد على متنها</v>
      </c>
      <c r="E310" s="4" t="str">
        <f>IFERROR(__xludf.DUMMYFUNCTION("GOOGLETRANSLATE(B310,""en"",""fr"")"),"À bord")</f>
        <v>À bord</v>
      </c>
      <c r="F310" s="4" t="str">
        <f>IFERROR(__xludf.DUMMYFUNCTION("GOOGLETRANSLATE(B310,""en"",""tr"")"),"Gemide")</f>
        <v>Gemide</v>
      </c>
      <c r="G310" s="4" t="str">
        <f>IFERROR(__xludf.DUMMYFUNCTION("GOOGLETRANSLATE(B310,""en"",""ru"")"),"На борту")</f>
        <v>На борту</v>
      </c>
      <c r="H310" s="4" t="str">
        <f>IFERROR(__xludf.DUMMYFUNCTION("GOOGLETRANSLATE(B310,""en"",""it"")"),"A bordo")</f>
        <v>A bordo</v>
      </c>
      <c r="I310" s="4" t="str">
        <f>IFERROR(__xludf.DUMMYFUNCTION("GOOGLETRANSLATE(B310,""en"",""de"")"),"An Bord")</f>
        <v>An Bord</v>
      </c>
      <c r="J310" s="4" t="str">
        <f>IFERROR(__xludf.DUMMYFUNCTION("GOOGLETRANSLATE(B310,""en"",""ko"")"),"탑승")</f>
        <v>탑승</v>
      </c>
      <c r="K310" s="4" t="str">
        <f>IFERROR(__xludf.DUMMYFUNCTION("GOOGLETRANSLATE(B310,""en"",""zh"")"),"船上")</f>
        <v>船上</v>
      </c>
      <c r="L310" s="4" t="str">
        <f>IFERROR(__xludf.DUMMYFUNCTION("GOOGLETRANSLATE(B310,""en"",""es"")"),"De a bordo")</f>
        <v>De a bordo</v>
      </c>
      <c r="M310" s="4" t="str">
        <f>IFERROR(__xludf.DUMMYFUNCTION("GOOGLETRANSLATE(B310,""en"",""iw"")"),"על הסיפון")</f>
        <v>על הסיפון</v>
      </c>
      <c r="N310" s="4" t="str">
        <f>IFERROR(__xludf.DUMMYFUNCTION("GOOGLETRANSLATE(B310,""en"",""bn"")"),"অনবোর্ড")</f>
        <v>অনবোর্ড</v>
      </c>
      <c r="O310" s="4" t="str">
        <f>IFERROR(__xludf.DUMMYFUNCTION("GOOGLETRANSLATE(B310,""en"",""pt"")"),"A bordo")</f>
        <v>A bordo</v>
      </c>
    </row>
    <row r="311">
      <c r="A311" s="21" t="s">
        <v>842</v>
      </c>
      <c r="B311" s="22" t="s">
        <v>843</v>
      </c>
      <c r="C311" s="4" t="str">
        <f>IFERROR(__xludf.DUMMYFUNCTION("GOOGLETRANSLATE(B311,""en"",""hi"")"),"ऑफलाइन")</f>
        <v>ऑफलाइन</v>
      </c>
      <c r="D311" s="4" t="str">
        <f>IFERROR(__xludf.DUMMYFUNCTION("GOOGLETRANSLATE(B311,""en"",""ar"")"),"غير متصل")</f>
        <v>غير متصل</v>
      </c>
      <c r="E311" s="4" t="str">
        <f>IFERROR(__xludf.DUMMYFUNCTION("GOOGLETRANSLATE(B311,""en"",""fr"")"),"Hors ligne")</f>
        <v>Hors ligne</v>
      </c>
      <c r="F311" s="4" t="str">
        <f>IFERROR(__xludf.DUMMYFUNCTION("GOOGLETRANSLATE(B311,""en"",""tr"")"),"Çevrimdışı")</f>
        <v>Çevrimdışı</v>
      </c>
      <c r="G311" s="4" t="str">
        <f>IFERROR(__xludf.DUMMYFUNCTION("GOOGLETRANSLATE(B311,""en"",""ru"")"),"Оффлайн")</f>
        <v>Оффлайн</v>
      </c>
      <c r="H311" s="4" t="str">
        <f>IFERROR(__xludf.DUMMYFUNCTION("GOOGLETRANSLATE(B311,""en"",""it"")"),"Fuori linea")</f>
        <v>Fuori linea</v>
      </c>
      <c r="I311" s="4" t="str">
        <f>IFERROR(__xludf.DUMMYFUNCTION("GOOGLETRANSLATE(B311,""en"",""de"")"),"Offline")</f>
        <v>Offline</v>
      </c>
      <c r="J311" s="4" t="str">
        <f>IFERROR(__xludf.DUMMYFUNCTION("GOOGLETRANSLATE(B311,""en"",""ko"")"),"오프라인")</f>
        <v>오프라인</v>
      </c>
      <c r="K311" s="4" t="str">
        <f>IFERROR(__xludf.DUMMYFUNCTION("GOOGLETRANSLATE(B311,""en"",""zh"")"),"离线")</f>
        <v>离线</v>
      </c>
      <c r="L311" s="4" t="str">
        <f>IFERROR(__xludf.DUMMYFUNCTION("GOOGLETRANSLATE(B311,""en"",""es"")"),"Desconectado")</f>
        <v>Desconectado</v>
      </c>
      <c r="M311" s="4" t="str">
        <f>IFERROR(__xludf.DUMMYFUNCTION("GOOGLETRANSLATE(B311,""en"",""iw"")"),"לא מקוון")</f>
        <v>לא מקוון</v>
      </c>
      <c r="N311" s="4" t="str">
        <f>IFERROR(__xludf.DUMMYFUNCTION("GOOGLETRANSLATE(B311,""en"",""bn"")"),"অফলাইন")</f>
        <v>অফলাইন</v>
      </c>
      <c r="O311" s="4" t="str">
        <f>IFERROR(__xludf.DUMMYFUNCTION("GOOGLETRANSLATE(B311,""en"",""pt"")"),"Off-line")</f>
        <v>Off-line</v>
      </c>
    </row>
    <row r="312">
      <c r="A312" s="21" t="s">
        <v>844</v>
      </c>
      <c r="B312" s="22" t="s">
        <v>505</v>
      </c>
      <c r="C312" s="4" t="str">
        <f>IFERROR(__xludf.DUMMYFUNCTION("GOOGLETRANSLATE(B312,""en"",""hi"")"),"डाटा प्राप्त नहीं हुआ")</f>
        <v>डाटा प्राप्त नहीं हुआ</v>
      </c>
      <c r="D312" s="4" t="str">
        <f>IFERROR(__xludf.DUMMYFUNCTION("GOOGLETRANSLATE(B312,""en"",""ar"")"),"لم يتم العثور على أي بيانات")</f>
        <v>لم يتم العثور على أي بيانات</v>
      </c>
      <c r="E312" s="4" t="str">
        <f>IFERROR(__xludf.DUMMYFUNCTION("GOOGLETRANSLATE(B312,""en"",""fr"")"),"Aucune donnée trouvée")</f>
        <v>Aucune donnée trouvée</v>
      </c>
      <c r="F312" s="4" t="str">
        <f>IFERROR(__xludf.DUMMYFUNCTION("GOOGLETRANSLATE(B312,""en"",""tr"")"),"Veri Bulunamadı")</f>
        <v>Veri Bulunamadı</v>
      </c>
      <c r="G312" s="4" t="str">
        <f>IFERROR(__xludf.DUMMYFUNCTION("GOOGLETRANSLATE(B312,""en"",""ru"")"),"Данные не найдены")</f>
        <v>Данные не найдены</v>
      </c>
      <c r="H312" s="4" t="str">
        <f>IFERROR(__xludf.DUMMYFUNCTION("GOOGLETRANSLATE(B312,""en"",""it"")"),"Nessun dato trovato")</f>
        <v>Nessun dato trovato</v>
      </c>
      <c r="I312" s="4" t="str">
        <f>IFERROR(__xludf.DUMMYFUNCTION("GOOGLETRANSLATE(B312,""en"",""de"")"),"Keine Daten gefunden")</f>
        <v>Keine Daten gefunden</v>
      </c>
      <c r="J312" s="4" t="str">
        <f>IFERROR(__xludf.DUMMYFUNCTION("GOOGLETRANSLATE(B312,""en"",""ko"")"),"데이터가 없습니다")</f>
        <v>데이터가 없습니다</v>
      </c>
      <c r="K312" s="4" t="str">
        <f>IFERROR(__xludf.DUMMYFUNCTION("GOOGLETRANSLATE(B312,""en"",""zh"")"),"未找到数据")</f>
        <v>未找到数据</v>
      </c>
      <c r="L312" s="4" t="str">
        <f>IFERROR(__xludf.DUMMYFUNCTION("GOOGLETRANSLATE(B312,""en"",""es"")"),"No se encontraron datos")</f>
        <v>No se encontraron datos</v>
      </c>
      <c r="M312" s="4" t="str">
        <f>IFERROR(__xludf.DUMMYFUNCTION("GOOGLETRANSLATE(B312,""en"",""iw"")"),"לא נמצאו נתונים")</f>
        <v>לא נמצאו נתונים</v>
      </c>
      <c r="N312" s="4" t="str">
        <f>IFERROR(__xludf.DUMMYFUNCTION("GOOGLETRANSLATE(B312,""en"",""bn"")"),"কোন তথ্য পাওয়া যায়নি")</f>
        <v>কোন তথ্য পাওয়া যায়নি</v>
      </c>
      <c r="O312" s="4" t="str">
        <f>IFERROR(__xludf.DUMMYFUNCTION("GOOGLETRANSLATE(B312,""en"",""pt"")"),"Nenhum dado encontrado")</f>
        <v>Nenhum dado encontrado</v>
      </c>
    </row>
    <row r="313">
      <c r="A313" s="21" t="s">
        <v>845</v>
      </c>
      <c r="B313" s="22" t="s">
        <v>846</v>
      </c>
      <c r="C313" s="4" t="str">
        <f>IFERROR(__xludf.DUMMYFUNCTION("GOOGLETRANSLATE(B313,""en"",""hi"")"),"वाहन प्रबंधित करें")</f>
        <v>वाहन प्रबंधित करें</v>
      </c>
      <c r="D313" s="4" t="str">
        <f>IFERROR(__xludf.DUMMYFUNCTION("GOOGLETRANSLATE(B313,""en"",""ar"")"),"إدارة المركبات")</f>
        <v>إدارة المركبات</v>
      </c>
      <c r="E313" s="4" t="str">
        <f>IFERROR(__xludf.DUMMYFUNCTION("GOOGLETRANSLATE(B313,""en"",""fr"")"),"Gérer les véhicules")</f>
        <v>Gérer les véhicules</v>
      </c>
      <c r="F313" s="4" t="str">
        <f>IFERROR(__xludf.DUMMYFUNCTION("GOOGLETRANSLATE(B313,""en"",""tr"")"),"Araçları Yönet")</f>
        <v>Araçları Yönet</v>
      </c>
      <c r="G313" s="4" t="str">
        <f>IFERROR(__xludf.DUMMYFUNCTION("GOOGLETRANSLATE(B313,""en"",""ru"")"),"Управление транспортными средствами")</f>
        <v>Управление транспортными средствами</v>
      </c>
      <c r="H313" s="4" t="str">
        <f>IFERROR(__xludf.DUMMYFUNCTION("GOOGLETRANSLATE(B313,""en"",""it"")"),"Gestisci veicoli")</f>
        <v>Gestisci veicoli</v>
      </c>
      <c r="I313" s="4" t="str">
        <f>IFERROR(__xludf.DUMMYFUNCTION("GOOGLETRANSLATE(B313,""en"",""de"")"),"Fahrzeuge verwalten")</f>
        <v>Fahrzeuge verwalten</v>
      </c>
      <c r="J313" s="4" t="str">
        <f>IFERROR(__xludf.DUMMYFUNCTION("GOOGLETRANSLATE(B313,""en"",""ko"")"),"차량 관리")</f>
        <v>차량 관리</v>
      </c>
      <c r="K313" s="4" t="str">
        <f>IFERROR(__xludf.DUMMYFUNCTION("GOOGLETRANSLATE(B313,""en"",""zh"")"),"管理车辆")</f>
        <v>管理车辆</v>
      </c>
      <c r="L313" s="4" t="str">
        <f>IFERROR(__xludf.DUMMYFUNCTION("GOOGLETRANSLATE(B313,""en"",""es"")"),"Administrar vehículos")</f>
        <v>Administrar vehículos</v>
      </c>
      <c r="M313" s="4" t="str">
        <f>IFERROR(__xludf.DUMMYFUNCTION("GOOGLETRANSLATE(B313,""en"",""iw"")"),"ניהול כלי רכב")</f>
        <v>ניהול כלי רכב</v>
      </c>
      <c r="N313" s="4" t="str">
        <f>IFERROR(__xludf.DUMMYFUNCTION("GOOGLETRANSLATE(B313,""en"",""bn"")"),"যানবাহন পরিচালনা করুন")</f>
        <v>যানবাহন পরিচালনা করুন</v>
      </c>
      <c r="O313" s="4" t="str">
        <f>IFERROR(__xludf.DUMMYFUNCTION("GOOGLETRANSLATE(B313,""en"",""pt"")"),"Gerenciar veículos")</f>
        <v>Gerenciar veículos</v>
      </c>
    </row>
    <row r="314">
      <c r="A314" s="21" t="s">
        <v>847</v>
      </c>
      <c r="B314" s="22" t="s">
        <v>848</v>
      </c>
      <c r="C314" s="4" t="str">
        <f>IFERROR(__xludf.DUMMYFUNCTION("GOOGLETRANSLATE(B314,""en"",""hi"")"),"ड्राइवरों का प्रबंधन करें")</f>
        <v>ड्राइवरों का प्रबंधन करें</v>
      </c>
      <c r="D314" s="4" t="str">
        <f>IFERROR(__xludf.DUMMYFUNCTION("GOOGLETRANSLATE(B314,""en"",""ar"")"),"إدارة السائقين")</f>
        <v>إدارة السائقين</v>
      </c>
      <c r="E314" s="4" t="str">
        <f>IFERROR(__xludf.DUMMYFUNCTION("GOOGLETRANSLATE(B314,""en"",""fr"")"),"Gérer les conducteurs")</f>
        <v>Gérer les conducteurs</v>
      </c>
      <c r="F314" s="4" t="str">
        <f>IFERROR(__xludf.DUMMYFUNCTION("GOOGLETRANSLATE(B314,""en"",""tr"")"),"Sürücüleri Yönet")</f>
        <v>Sürücüleri Yönet</v>
      </c>
      <c r="G314" s="4" t="str">
        <f>IFERROR(__xludf.DUMMYFUNCTION("GOOGLETRANSLATE(B314,""en"",""ru"")"),"Управление водителями")</f>
        <v>Управление водителями</v>
      </c>
      <c r="H314" s="4" t="str">
        <f>IFERROR(__xludf.DUMMYFUNCTION("GOOGLETRANSLATE(B314,""en"",""it"")"),"Gestisci i driver")</f>
        <v>Gestisci i driver</v>
      </c>
      <c r="I314" s="4" t="str">
        <f>IFERROR(__xludf.DUMMYFUNCTION("GOOGLETRANSLATE(B314,""en"",""de"")"),"Treiber verwalten")</f>
        <v>Treiber verwalten</v>
      </c>
      <c r="J314" s="4" t="str">
        <f>IFERROR(__xludf.DUMMYFUNCTION("GOOGLETRANSLATE(B314,""en"",""ko"")"),"드라이버 관리")</f>
        <v>드라이버 관리</v>
      </c>
      <c r="K314" s="4" t="str">
        <f>IFERROR(__xludf.DUMMYFUNCTION("GOOGLETRANSLATE(B314,""en"",""zh"")"),"管理驱动程序")</f>
        <v>管理驱动程序</v>
      </c>
      <c r="L314" s="4" t="str">
        <f>IFERROR(__xludf.DUMMYFUNCTION("GOOGLETRANSLATE(B314,""en"",""es"")"),"Administrar conductores")</f>
        <v>Administrar conductores</v>
      </c>
      <c r="M314" s="4" t="str">
        <f>IFERROR(__xludf.DUMMYFUNCTION("GOOGLETRANSLATE(B314,""en"",""iw"")"),"נהל דרייברים")</f>
        <v>נהל דרייברים</v>
      </c>
      <c r="N314" s="4" t="str">
        <f>IFERROR(__xludf.DUMMYFUNCTION("GOOGLETRANSLATE(B314,""en"",""bn"")"),"ড্রাইভার পরিচালনা করুন")</f>
        <v>ড্রাইভার পরিচালনা করুন</v>
      </c>
      <c r="O314" s="4" t="str">
        <f>IFERROR(__xludf.DUMMYFUNCTION("GOOGLETRANSLATE(B314,""en"",""pt"")"),"Gerenciar Drivers")</f>
        <v>Gerenciar Drivers</v>
      </c>
    </row>
    <row r="315">
      <c r="A315" s="21" t="s">
        <v>849</v>
      </c>
      <c r="B315" s="22" t="s">
        <v>850</v>
      </c>
      <c r="C315" s="4" t="str">
        <f>IFERROR(__xludf.DUMMYFUNCTION("GOOGLETRANSLATE(B315,""en"",""hi"")"),"ड्राइवर सफलतापूर्वक जोड़ा गया")</f>
        <v>ड्राइवर सफलतापूर्वक जोड़ा गया</v>
      </c>
      <c r="D315" s="4" t="str">
        <f>IFERROR(__xludf.DUMMYFUNCTION("GOOGLETRANSLATE(B315,""en"",""ar"")"),"تمت إضافة برنامج التشغيل بنجاح")</f>
        <v>تمت إضافة برنامج التشغيل بنجاح</v>
      </c>
      <c r="E315" s="4" t="str">
        <f>IFERROR(__xludf.DUMMYFUNCTION("GOOGLETRANSLATE(B315,""en"",""fr"")"),"Pilote ajouté avec succès")</f>
        <v>Pilote ajouté avec succès</v>
      </c>
      <c r="F315" s="4" t="str">
        <f>IFERROR(__xludf.DUMMYFUNCTION("GOOGLETRANSLATE(B315,""en"",""tr"")"),"Sürücü Başarıyla Eklendi")</f>
        <v>Sürücü Başarıyla Eklendi</v>
      </c>
      <c r="G315" s="4" t="str">
        <f>IFERROR(__xludf.DUMMYFUNCTION("GOOGLETRANSLATE(B315,""en"",""ru"")"),"Драйвер успешно добавлен")</f>
        <v>Драйвер успешно добавлен</v>
      </c>
      <c r="H315" s="4" t="str">
        <f>IFERROR(__xludf.DUMMYFUNCTION("GOOGLETRANSLATE(B315,""en"",""it"")"),"Driver aggiunto correttamente")</f>
        <v>Driver aggiunto correttamente</v>
      </c>
      <c r="I315" s="4" t="str">
        <f>IFERROR(__xludf.DUMMYFUNCTION("GOOGLETRANSLATE(B315,""en"",""de"")"),"Treiber erfolgreich hinzugefügt")</f>
        <v>Treiber erfolgreich hinzugefügt</v>
      </c>
      <c r="J315" s="4" t="str">
        <f>IFERROR(__xludf.DUMMYFUNCTION("GOOGLETRANSLATE(B315,""en"",""ko"")"),"드라이버가 성공적으로 추가되었습니다")</f>
        <v>드라이버가 성공적으로 추가되었습니다</v>
      </c>
      <c r="K315" s="4" t="str">
        <f>IFERROR(__xludf.DUMMYFUNCTION("GOOGLETRANSLATE(B315,""en"",""zh"")"),"驱动程序添加成功")</f>
        <v>驱动程序添加成功</v>
      </c>
      <c r="L315" s="4" t="str">
        <f>IFERROR(__xludf.DUMMYFUNCTION("GOOGLETRANSLATE(B315,""en"",""es"")"),"Controlador añadido correctamente")</f>
        <v>Controlador añadido correctamente</v>
      </c>
      <c r="M315" s="4" t="str">
        <f>IFERROR(__xludf.DUMMYFUNCTION("GOOGLETRANSLATE(B315,""en"",""iw"")"),"מנהל ההתקן נוסף בהצלחה")</f>
        <v>מנהל ההתקן נוסף בהצלחה</v>
      </c>
      <c r="N315" s="4" t="str">
        <f>IFERROR(__xludf.DUMMYFUNCTION("GOOGLETRANSLATE(B315,""en"",""bn"")"),"ড্রাইভার সফলভাবে যোগ করা হয়েছে")</f>
        <v>ড্রাইভার সফলভাবে যোগ করা হয়েছে</v>
      </c>
      <c r="O315" s="4" t="str">
        <f>IFERROR(__xludf.DUMMYFUNCTION("GOOGLETRANSLATE(B315,""en"",""pt"")"),"Driver adicionado com sucesso")</f>
        <v>Driver adicionado com sucesso</v>
      </c>
    </row>
    <row r="316">
      <c r="A316" s="21" t="s">
        <v>851</v>
      </c>
      <c r="B316" s="22" t="s">
        <v>852</v>
      </c>
      <c r="C316" s="4" t="str">
        <f>IFERROR(__xludf.DUMMYFUNCTION("GOOGLETRANSLATE(B316,""en"",""hi"")"),"कोई ड्राइवर नहीं")</f>
        <v>कोई ड्राइवर नहीं</v>
      </c>
      <c r="D316" s="4" t="str">
        <f>IFERROR(__xludf.DUMMYFUNCTION("GOOGLETRANSLATE(B316,""en"",""ar"")"),"لا يوجد سائق")</f>
        <v>لا يوجد سائق</v>
      </c>
      <c r="E316" s="4" t="str">
        <f>IFERROR(__xludf.DUMMYFUNCTION("GOOGLETRANSLATE(B316,""en"",""fr"")"),"Pas de conducteur")</f>
        <v>Pas de conducteur</v>
      </c>
      <c r="F316" s="4" t="str">
        <f>IFERROR(__xludf.DUMMYFUNCTION("GOOGLETRANSLATE(B316,""en"",""tr"")"),"Sürücü Yok")</f>
        <v>Sürücü Yok</v>
      </c>
      <c r="G316" s="4" t="str">
        <f>IFERROR(__xludf.DUMMYFUNCTION("GOOGLETRANSLATE(B316,""en"",""ru"")"),"Нет водителя")</f>
        <v>Нет водителя</v>
      </c>
      <c r="H316" s="4" t="str">
        <f>IFERROR(__xludf.DUMMYFUNCTION("GOOGLETRANSLATE(B316,""en"",""it"")"),"Nessun conducente")</f>
        <v>Nessun conducente</v>
      </c>
      <c r="I316" s="4" t="str">
        <f>IFERROR(__xludf.DUMMYFUNCTION("GOOGLETRANSLATE(B316,""en"",""de"")"),"Kein Treiber")</f>
        <v>Kein Treiber</v>
      </c>
      <c r="J316" s="4" t="str">
        <f>IFERROR(__xludf.DUMMYFUNCTION("GOOGLETRANSLATE(B316,""en"",""ko"")"),"운전자 없음")</f>
        <v>운전자 없음</v>
      </c>
      <c r="K316" s="4" t="str">
        <f>IFERROR(__xludf.DUMMYFUNCTION("GOOGLETRANSLATE(B316,""en"",""zh"")"),"无司机")</f>
        <v>无司机</v>
      </c>
      <c r="L316" s="4" t="str">
        <f>IFERROR(__xludf.DUMMYFUNCTION("GOOGLETRANSLATE(B316,""en"",""es"")"),"Sin conductor")</f>
        <v>Sin conductor</v>
      </c>
      <c r="M316" s="4" t="str">
        <f>IFERROR(__xludf.DUMMYFUNCTION("GOOGLETRANSLATE(B316,""en"",""iw"")"),"אין נהג ")</f>
        <v>אין נהג </v>
      </c>
      <c r="N316" s="4" t="str">
        <f>IFERROR(__xludf.DUMMYFUNCTION("GOOGLETRANSLATE(B316,""en"",""bn"")"),"ড্রাইভার নেই ")</f>
        <v>ড্রাইভার নেই </v>
      </c>
      <c r="O316" s="4" t="str">
        <f>IFERROR(__xludf.DUMMYFUNCTION("GOOGLETRANSLATE(B316,""en"",""pt"")"),"Sem motorista")</f>
        <v>Sem motorista</v>
      </c>
    </row>
    <row r="317">
      <c r="A317" s="21" t="s">
        <v>853</v>
      </c>
      <c r="B317" s="22" t="s">
        <v>854</v>
      </c>
      <c r="C317" s="4" t="str">
        <f>IFERROR(__xludf.DUMMYFUNCTION("GOOGLETRANSLATE(B317,""en"",""hi"")"),"नया ड्राइवर नियुक्त करें +")</f>
        <v>नया ड्राइवर नियुक्त करें +</v>
      </c>
      <c r="D317" s="4" t="str">
        <f>IFERROR(__xludf.DUMMYFUNCTION("GOOGLETRANSLATE(B317,""en"",""ar"")"),"تعيين سائق جديد +")</f>
        <v>تعيين سائق جديد +</v>
      </c>
      <c r="E317" s="4" t="str">
        <f>IFERROR(__xludf.DUMMYFUNCTION("GOOGLETRANSLATE(B317,""en"",""fr"")"),"Attribuer un nouveau pilote +")</f>
        <v>Attribuer un nouveau pilote +</v>
      </c>
      <c r="F317" s="4" t="str">
        <f>IFERROR(__xludf.DUMMYFUNCTION("GOOGLETRANSLATE(B317,""en"",""tr"")"),"Yeni Sürücü Ata +")</f>
        <v>Yeni Sürücü Ata +</v>
      </c>
      <c r="G317" s="4" t="str">
        <f>IFERROR(__xludf.DUMMYFUNCTION("GOOGLETRANSLATE(B317,""en"",""ru"")"),"Назначить нового водителя +")</f>
        <v>Назначить нового водителя +</v>
      </c>
      <c r="H317" s="4" t="str">
        <f>IFERROR(__xludf.DUMMYFUNCTION("GOOGLETRANSLATE(B317,""en"",""it"")"),"Assegna nuovo Driver +")</f>
        <v>Assegna nuovo Driver +</v>
      </c>
      <c r="I317" s="4" t="str">
        <f>IFERROR(__xludf.DUMMYFUNCTION("GOOGLETRANSLATE(B317,""en"",""de"")"),"Neuen Fahrer zuweisen +")</f>
        <v>Neuen Fahrer zuweisen +</v>
      </c>
      <c r="J317" s="4" t="str">
        <f>IFERROR(__xludf.DUMMYFUNCTION("GOOGLETRANSLATE(B317,""en"",""ko"")"),"새로운 운전자 지정 +")</f>
        <v>새로운 운전자 지정 +</v>
      </c>
      <c r="K317" s="4" t="str">
        <f>IFERROR(__xludf.DUMMYFUNCTION("GOOGLETRANSLATE(B317,""en"",""zh"")"),"指派新司机 +")</f>
        <v>指派新司机 +</v>
      </c>
      <c r="L317" s="4" t="str">
        <f>IFERROR(__xludf.DUMMYFUNCTION("GOOGLETRANSLATE(B317,""en"",""es"")"),"Asignar nuevo Conductor +")</f>
        <v>Asignar nuevo Conductor +</v>
      </c>
      <c r="M317" s="4" t="str">
        <f>IFERROR(__xludf.DUMMYFUNCTION("GOOGLETRANSLATE(B317,""en"",""iw"")"),"הקצה דרייבר חדש +")</f>
        <v>הקצה דרייבר חדש +</v>
      </c>
      <c r="N317" s="4" t="str">
        <f>IFERROR(__xludf.DUMMYFUNCTION("GOOGLETRANSLATE(B317,""en"",""bn"")"),"নতুন ড্রাইভার বরাদ্দ করুন +")</f>
        <v>নতুন ড্রাইভার বরাদ্দ করুন +</v>
      </c>
      <c r="O317" s="4" t="str">
        <f>IFERROR(__xludf.DUMMYFUNCTION("GOOGLETRANSLATE(B317,""en"",""pt"")"),"Atribuir novo motorista +")</f>
        <v>Atribuir novo motorista +</v>
      </c>
    </row>
    <row r="318">
      <c r="A318" s="21" t="s">
        <v>855</v>
      </c>
      <c r="B318" s="22" t="s">
        <v>856</v>
      </c>
      <c r="C318" s="4" t="str">
        <f>IFERROR(__xludf.DUMMYFUNCTION("GOOGLETRANSLATE(B318,""en"",""hi"")"),"कृपया ड्राइवर का चयन करें")</f>
        <v>कृपया ड्राइवर का चयन करें</v>
      </c>
      <c r="D318" s="4" t="str">
        <f>IFERROR(__xludf.DUMMYFUNCTION("GOOGLETRANSLATE(B318,""en"",""ar"")"),"الرجاء اختيار السائق")</f>
        <v>الرجاء اختيار السائق</v>
      </c>
      <c r="E318" s="4" t="str">
        <f>IFERROR(__xludf.DUMMYFUNCTION("GOOGLETRANSLATE(B318,""en"",""fr"")"),"Veuillez sélectionner le pilote")</f>
        <v>Veuillez sélectionner le pilote</v>
      </c>
      <c r="F318" s="4" t="str">
        <f>IFERROR(__xludf.DUMMYFUNCTION("GOOGLETRANSLATE(B318,""en"",""tr"")"),"Lütfen Sürücüyü Seçin")</f>
        <v>Lütfen Sürücüyü Seçin</v>
      </c>
      <c r="G318" s="4" t="str">
        <f>IFERROR(__xludf.DUMMYFUNCTION("GOOGLETRANSLATE(B318,""en"",""ru"")"),"Пожалуйста, выберите водителя")</f>
        <v>Пожалуйста, выберите водителя</v>
      </c>
      <c r="H318" s="4" t="str">
        <f>IFERROR(__xludf.DUMMYFUNCTION("GOOGLETRANSLATE(B318,""en"",""it"")"),"Seleziona il driver")</f>
        <v>Seleziona il driver</v>
      </c>
      <c r="I318" s="4" t="str">
        <f>IFERROR(__xludf.DUMMYFUNCTION("GOOGLETRANSLATE(B318,""en"",""de"")"),"Bitte wählen Sie den Treiber")</f>
        <v>Bitte wählen Sie den Treiber</v>
      </c>
      <c r="J318" s="4" t="str">
        <f>IFERROR(__xludf.DUMMYFUNCTION("GOOGLETRANSLATE(B318,""en"",""ko"")"),"드라이버를 선택하세요")</f>
        <v>드라이버를 선택하세요</v>
      </c>
      <c r="K318" s="4" t="str">
        <f>IFERROR(__xludf.DUMMYFUNCTION("GOOGLETRANSLATE(B318,""en"",""zh"")"),"请选择司机")</f>
        <v>请选择司机</v>
      </c>
      <c r="L318" s="4" t="str">
        <f>IFERROR(__xludf.DUMMYFUNCTION("GOOGLETRANSLATE(B318,""en"",""es"")"),"Por favor seleccione el controlador")</f>
        <v>Por favor seleccione el controlador</v>
      </c>
      <c r="M318" s="4" t="str">
        <f>IFERROR(__xludf.DUMMYFUNCTION("GOOGLETRANSLATE(B318,""en"",""iw"")"),"נא בחר דרייבר")</f>
        <v>נא בחר דרייבר</v>
      </c>
      <c r="N318" s="4" t="str">
        <f>IFERROR(__xludf.DUMMYFUNCTION("GOOGLETRANSLATE(B318,""en"",""bn"")"),"অনুগ্রহ করে ড্রাইভার নির্বাচন করুন")</f>
        <v>অনুগ্রহ করে ড্রাইভার নির্বাচন করুন</v>
      </c>
      <c r="O318" s="4" t="str">
        <f>IFERROR(__xludf.DUMMYFUNCTION("GOOGLETRANSLATE(B318,""en"",""pt"")"),"Selecione o driver")</f>
        <v>Selecione o driver</v>
      </c>
    </row>
    <row r="319">
      <c r="A319" s="21" t="s">
        <v>857</v>
      </c>
      <c r="B319" s="22" t="s">
        <v>858</v>
      </c>
      <c r="C319" s="4" t="str">
        <f>IFERROR(__xludf.DUMMYFUNCTION("GOOGLETRANSLATE(B319,""en"",""hi"")"),"बेड़ा आवंटित नहीं किया गया")</f>
        <v>बेड़ा आवंटित नहीं किया गया</v>
      </c>
      <c r="D319" s="4" t="str">
        <f>IFERROR(__xludf.DUMMYFUNCTION("GOOGLETRANSLATE(B319,""en"",""ar"")"),"الأسطول غير مخصص")</f>
        <v>الأسطول غير مخصص</v>
      </c>
      <c r="E319" s="4" t="str">
        <f>IFERROR(__xludf.DUMMYFUNCTION("GOOGLETRANSLATE(B319,""en"",""fr"")"),"Flotte non attribuée")</f>
        <v>Flotte non attribuée</v>
      </c>
      <c r="F319" s="4" t="str">
        <f>IFERROR(__xludf.DUMMYFUNCTION("GOOGLETRANSLATE(B319,""en"",""tr"")"),"Filo Atanmadı")</f>
        <v>Filo Atanmadı</v>
      </c>
      <c r="G319" s="4" t="str">
        <f>IFERROR(__xludf.DUMMYFUNCTION("GOOGLETRANSLATE(B319,""en"",""ru"")"),"Флот не назначен")</f>
        <v>Флот не назначен</v>
      </c>
      <c r="H319" s="4" t="str">
        <f>IFERROR(__xludf.DUMMYFUNCTION("GOOGLETRANSLATE(B319,""en"",""it"")"),"Flotta non assegnata")</f>
        <v>Flotta non assegnata</v>
      </c>
      <c r="I319" s="4" t="str">
        <f>IFERROR(__xludf.DUMMYFUNCTION("GOOGLETRANSLATE(B319,""en"",""de"")"),"Flotte nicht zugewiesen")</f>
        <v>Flotte nicht zugewiesen</v>
      </c>
      <c r="J319" s="4" t="str">
        <f>IFERROR(__xludf.DUMMYFUNCTION("GOOGLETRANSLATE(B319,""en"",""ko"")"),"함대가 할당되지 않음")</f>
        <v>함대가 할당되지 않음</v>
      </c>
      <c r="K319" s="4" t="str">
        <f>IFERROR(__xludf.DUMMYFUNCTION("GOOGLETRANSLATE(B319,""en"",""zh"")"),"未分配舰队")</f>
        <v>未分配舰队</v>
      </c>
      <c r="L319" s="4" t="str">
        <f>IFERROR(__xludf.DUMMYFUNCTION("GOOGLETRANSLATE(B319,""en"",""es"")"),"Flota no asignada")</f>
        <v>Flota no asignada</v>
      </c>
      <c r="M319" s="4" t="str">
        <f>IFERROR(__xludf.DUMMYFUNCTION("GOOGLETRANSLATE(B319,""en"",""iw"")"),"צי לא הוקצה")</f>
        <v>צי לא הוקצה</v>
      </c>
      <c r="N319" s="4" t="str">
        <f>IFERROR(__xludf.DUMMYFUNCTION("GOOGLETRANSLATE(B319,""en"",""bn"")"),"ফ্লিট অ্যাসাইন করা হয়নি")</f>
        <v>ফ্লিট অ্যাসাইন করা হয়নি</v>
      </c>
      <c r="O319" s="4" t="str">
        <f>IFERROR(__xludf.DUMMYFUNCTION("GOOGLETRANSLATE(B319,""en"",""pt"")"),"Frota não atribuída")</f>
        <v>Frota não atribuída</v>
      </c>
    </row>
    <row r="320">
      <c r="A320" s="21" t="s">
        <v>859</v>
      </c>
      <c r="B320" s="22" t="s">
        <v>860</v>
      </c>
      <c r="C320" s="4" t="str">
        <f>IFERROR(__xludf.DUMMYFUNCTION("GOOGLETRANSLATE(B320,""en"",""hi"")"),"कोई ड्राइवर नहीं मिला")</f>
        <v>कोई ड्राइवर नहीं मिला</v>
      </c>
      <c r="D320" s="4" t="str">
        <f>IFERROR(__xludf.DUMMYFUNCTION("GOOGLETRANSLATE(B320,""en"",""ar"")"),"لم يتم العثور على برامج تشغيل")</f>
        <v>لم يتم العثور على برامج تشغيل</v>
      </c>
      <c r="E320" s="4" t="str">
        <f>IFERROR(__xludf.DUMMYFUNCTION("GOOGLETRANSLATE(B320,""en"",""fr"")"),"Aucun pilote trouvé")</f>
        <v>Aucun pilote trouvé</v>
      </c>
      <c r="F320" s="4" t="str">
        <f>IFERROR(__xludf.DUMMYFUNCTION("GOOGLETRANSLATE(B320,""en"",""tr"")"),"Sürücü Bulunamadı")</f>
        <v>Sürücü Bulunamadı</v>
      </c>
      <c r="G320" s="4" t="str">
        <f>IFERROR(__xludf.DUMMYFUNCTION("GOOGLETRANSLATE(B320,""en"",""ru"")"),"Драйверы не найдены")</f>
        <v>Драйверы не найдены</v>
      </c>
      <c r="H320" s="4" t="str">
        <f>IFERROR(__xludf.DUMMYFUNCTION("GOOGLETRANSLATE(B320,""en"",""it"")"),"Nessun driver trovato")</f>
        <v>Nessun driver trovato</v>
      </c>
      <c r="I320" s="4" t="str">
        <f>IFERROR(__xludf.DUMMYFUNCTION("GOOGLETRANSLATE(B320,""en"",""de"")"),"Keine Treiber gefunden")</f>
        <v>Keine Treiber gefunden</v>
      </c>
      <c r="J320" s="4" t="str">
        <f>IFERROR(__xludf.DUMMYFUNCTION("GOOGLETRANSLATE(B320,""en"",""ko"")"),"드라이버를 찾을 수 없습니다")</f>
        <v>드라이버를 찾을 수 없습니다</v>
      </c>
      <c r="K320" s="4" t="str">
        <f>IFERROR(__xludf.DUMMYFUNCTION("GOOGLETRANSLATE(B320,""en"",""zh"")"),"未找到驱动程序")</f>
        <v>未找到驱动程序</v>
      </c>
      <c r="L320" s="4" t="str">
        <f>IFERROR(__xludf.DUMMYFUNCTION("GOOGLETRANSLATE(B320,""en"",""es"")"),"No se encontraron controladores")</f>
        <v>No se encontraron controladores</v>
      </c>
      <c r="M320" s="4" t="str">
        <f>IFERROR(__xludf.DUMMYFUNCTION("GOOGLETRANSLATE(B320,""en"",""iw"")"),"לא נמצאו דרייברים")</f>
        <v>לא נמצאו דרייברים</v>
      </c>
      <c r="N320" s="4" t="str">
        <f>IFERROR(__xludf.DUMMYFUNCTION("GOOGLETRANSLATE(B320,""en"",""bn"")"),"কোন ড্রাইভার পাওয়া যায়নি")</f>
        <v>কোন ড্রাইভার পাওয়া যায়নি</v>
      </c>
      <c r="O320" s="4" t="str">
        <f>IFERROR(__xludf.DUMMYFUNCTION("GOOGLETRANSLATE(B320,""en"",""pt"")"),"Nenhum driver encontrado")</f>
        <v>Nenhum driver encontrado</v>
      </c>
    </row>
    <row r="321">
      <c r="A321" s="21" t="s">
        <v>861</v>
      </c>
      <c r="B321" s="22" t="s">
        <v>862</v>
      </c>
      <c r="C321" s="4" t="str">
        <f>IFERROR(__xludf.DUMMYFUNCTION("GOOGLETRANSLATE(B321,""en"",""hi"")"),"तारीख़ चुनें")</f>
        <v>तारीख़ चुनें</v>
      </c>
      <c r="D321" s="4" t="str">
        <f>IFERROR(__xludf.DUMMYFUNCTION("GOOGLETRANSLATE(B321,""en"",""ar"")"),"حدد التاريخ")</f>
        <v>حدد التاريخ</v>
      </c>
      <c r="E321" s="4" t="str">
        <f>IFERROR(__xludf.DUMMYFUNCTION("GOOGLETRANSLATE(B321,""en"",""fr"")"),"Sélectionnez la date")</f>
        <v>Sélectionnez la date</v>
      </c>
      <c r="F321" s="4" t="str">
        <f>IFERROR(__xludf.DUMMYFUNCTION("GOOGLETRANSLATE(B321,""en"",""tr"")"),"Tarih Seçin")</f>
        <v>Tarih Seçin</v>
      </c>
      <c r="G321" s="4" t="str">
        <f>IFERROR(__xludf.DUMMYFUNCTION("GOOGLETRANSLATE(B321,""en"",""ru"")"),"Выберите дату")</f>
        <v>Выберите дату</v>
      </c>
      <c r="H321" s="4" t="str">
        <f>IFERROR(__xludf.DUMMYFUNCTION("GOOGLETRANSLATE(B321,""en"",""it"")"),"Seleziona la data")</f>
        <v>Seleziona la data</v>
      </c>
      <c r="I321" s="4" t="str">
        <f>IFERROR(__xludf.DUMMYFUNCTION("GOOGLETRANSLATE(B321,""en"",""de"")"),"Datum auswählen")</f>
        <v>Datum auswählen</v>
      </c>
      <c r="J321" s="4" t="str">
        <f>IFERROR(__xludf.DUMMYFUNCTION("GOOGLETRANSLATE(B321,""en"",""ko"")"),"날짜 선택")</f>
        <v>날짜 선택</v>
      </c>
      <c r="K321" s="4" t="str">
        <f>IFERROR(__xludf.DUMMYFUNCTION("GOOGLETRANSLATE(B321,""en"",""zh"")"),"选择日期")</f>
        <v>选择日期</v>
      </c>
      <c r="L321" s="4" t="str">
        <f>IFERROR(__xludf.DUMMYFUNCTION("GOOGLETRANSLATE(B321,""en"",""es"")"),"Seleccionar fecha")</f>
        <v>Seleccionar fecha</v>
      </c>
      <c r="M321" s="4" t="str">
        <f>IFERROR(__xludf.DUMMYFUNCTION("GOOGLETRANSLATE(B321,""en"",""iw"")"),"בחר תאריך")</f>
        <v>בחר תאריך</v>
      </c>
      <c r="N321" s="4" t="str">
        <f>IFERROR(__xludf.DUMMYFUNCTION("GOOGLETRANSLATE(B321,""en"",""bn"")"),"তারিখ নির্বাচন করুন")</f>
        <v>তারিখ নির্বাচন করুন</v>
      </c>
      <c r="O321" s="4" t="str">
        <f>IFERROR(__xludf.DUMMYFUNCTION("GOOGLETRANSLATE(B321,""en"",""pt"")"),"Selecione a data")</f>
        <v>Selecione a data</v>
      </c>
    </row>
    <row r="322">
      <c r="A322" s="21" t="s">
        <v>863</v>
      </c>
      <c r="B322" s="22" t="s">
        <v>864</v>
      </c>
      <c r="C322" s="4" t="str">
        <f>IFERROR(__xludf.DUMMYFUNCTION("GOOGLETRANSLATE(B322,""en"",""hi"")"),"उपयोगकर्ता")</f>
        <v>उपयोगकर्ता</v>
      </c>
      <c r="D322" s="4" t="str">
        <f>IFERROR(__xludf.DUMMYFUNCTION("GOOGLETRANSLATE(B322,""en"",""ar"")"),"مستخدم")</f>
        <v>مستخدم</v>
      </c>
      <c r="E322" s="4" t="str">
        <f>IFERROR(__xludf.DUMMYFUNCTION("GOOGLETRANSLATE(B322,""en"",""fr"")"),"Utilisateur")</f>
        <v>Utilisateur</v>
      </c>
      <c r="F322" s="4" t="str">
        <f>IFERROR(__xludf.DUMMYFUNCTION("GOOGLETRANSLATE(B322,""en"",""tr"")"),"Kullanıcı")</f>
        <v>Kullanıcı</v>
      </c>
      <c r="G322" s="4" t="str">
        <f>IFERROR(__xludf.DUMMYFUNCTION("GOOGLETRANSLATE(B322,""en"",""ru"")"),"Пользователь")</f>
        <v>Пользователь</v>
      </c>
      <c r="H322" s="4" t="str">
        <f>IFERROR(__xludf.DUMMYFUNCTION("GOOGLETRANSLATE(B322,""en"",""it"")"),"Utente")</f>
        <v>Utente</v>
      </c>
      <c r="I322" s="4" t="str">
        <f>IFERROR(__xludf.DUMMYFUNCTION("GOOGLETRANSLATE(B322,""en"",""de"")"),"Benutzer")</f>
        <v>Benutzer</v>
      </c>
      <c r="J322" s="4" t="str">
        <f>IFERROR(__xludf.DUMMYFUNCTION("GOOGLETRANSLATE(B322,""en"",""ko"")"),"사용자")</f>
        <v>사용자</v>
      </c>
      <c r="K322" s="4" t="str">
        <f>IFERROR(__xludf.DUMMYFUNCTION("GOOGLETRANSLATE(B322,""en"",""zh"")"),"用户")</f>
        <v>用户</v>
      </c>
      <c r="L322" s="4" t="str">
        <f>IFERROR(__xludf.DUMMYFUNCTION("GOOGLETRANSLATE(B322,""en"",""es"")"),"Usuario")</f>
        <v>Usuario</v>
      </c>
      <c r="M322" s="4" t="str">
        <f>IFERROR(__xludf.DUMMYFUNCTION("GOOGLETRANSLATE(B322,""en"",""iw"")"),"מִשׁתַמֵשׁ")</f>
        <v>מִשׁתַמֵשׁ</v>
      </c>
      <c r="N322" s="4" t="str">
        <f>IFERROR(__xludf.DUMMYFUNCTION("GOOGLETRANSLATE(B322,""en"",""bn"")"),"ব্যবহারকারী")</f>
        <v>ব্যবহারকারী</v>
      </c>
      <c r="O322" s="4" t="str">
        <f>IFERROR(__xludf.DUMMYFUNCTION("GOOGLETRANSLATE(B322,""en"",""pt"")"),"Usuário")</f>
        <v>Usuário</v>
      </c>
    </row>
    <row r="323">
      <c r="A323" s="21" t="s">
        <v>865</v>
      </c>
      <c r="B323" s="22" t="s">
        <v>866</v>
      </c>
      <c r="C323" s="4" t="str">
        <f>IFERROR(__xludf.DUMMYFUNCTION("GOOGLETRANSLATE(B323,""en"",""hi"")"),"ड्राइवर")</f>
        <v>ड्राइवर</v>
      </c>
      <c r="D323" s="4" t="str">
        <f>IFERROR(__xludf.DUMMYFUNCTION("GOOGLETRANSLATE(B323,""en"",""ar"")"),"سائق")</f>
        <v>سائق</v>
      </c>
      <c r="E323" s="4" t="str">
        <f>IFERROR(__xludf.DUMMYFUNCTION("GOOGLETRANSLATE(B323,""en"",""fr"")"),"Conducteur")</f>
        <v>Conducteur</v>
      </c>
      <c r="F323" s="4" t="str">
        <f>IFERROR(__xludf.DUMMYFUNCTION("GOOGLETRANSLATE(B323,""en"",""tr"")"),"Sürücü")</f>
        <v>Sürücü</v>
      </c>
      <c r="G323" s="4" t="str">
        <f>IFERROR(__xludf.DUMMYFUNCTION("GOOGLETRANSLATE(B323,""en"",""ru"")"),"Водитель")</f>
        <v>Водитель</v>
      </c>
      <c r="H323" s="4" t="str">
        <f>IFERROR(__xludf.DUMMYFUNCTION("GOOGLETRANSLATE(B323,""en"",""it"")"),"Autista")</f>
        <v>Autista</v>
      </c>
      <c r="I323" s="4" t="str">
        <f>IFERROR(__xludf.DUMMYFUNCTION("GOOGLETRANSLATE(B323,""en"",""de"")"),"Treiber")</f>
        <v>Treiber</v>
      </c>
      <c r="J323" s="4" t="str">
        <f>IFERROR(__xludf.DUMMYFUNCTION("GOOGLETRANSLATE(B323,""en"",""ko"")"),"운전사")</f>
        <v>운전사</v>
      </c>
      <c r="K323" s="4" t="str">
        <f>IFERROR(__xludf.DUMMYFUNCTION("GOOGLETRANSLATE(B323,""en"",""zh"")"),"司机")</f>
        <v>司机</v>
      </c>
      <c r="L323" s="4" t="str">
        <f>IFERROR(__xludf.DUMMYFUNCTION("GOOGLETRANSLATE(B323,""en"",""es"")"),"Conductor")</f>
        <v>Conductor</v>
      </c>
      <c r="M323" s="4" t="str">
        <f>IFERROR(__xludf.DUMMYFUNCTION("GOOGLETRANSLATE(B323,""en"",""iw"")"),"נֶהָג")</f>
        <v>נֶהָג</v>
      </c>
      <c r="N323" s="4" t="str">
        <f>IFERROR(__xludf.DUMMYFUNCTION("GOOGLETRANSLATE(B323,""en"",""bn"")"),"ড্রাইভার")</f>
        <v>ড্রাইভার</v>
      </c>
      <c r="O323" s="4" t="str">
        <f>IFERROR(__xludf.DUMMYFUNCTION("GOOGLETRANSLATE(B323,""en"",""pt"")"),"Motorista")</f>
        <v>Motorista</v>
      </c>
    </row>
    <row r="324">
      <c r="A324" s="21" t="s">
        <v>867</v>
      </c>
      <c r="B324" s="23" t="s">
        <v>868</v>
      </c>
      <c r="C324" s="4" t="str">
        <f>IFERROR(__xludf.DUMMYFUNCTION("GOOGLETRANSLATE(B324,""en"",""hi"")"),"ड्राइवर नियुक्त नहीं किया गया")</f>
        <v>ड्राइवर नियुक्त नहीं किया गया</v>
      </c>
      <c r="D324" s="4" t="str">
        <f>IFERROR(__xludf.DUMMYFUNCTION("GOOGLETRANSLATE(B324,""en"",""ar"")"),"السائق غير معين")</f>
        <v>السائق غير معين</v>
      </c>
      <c r="E324" s="4" t="str">
        <f>IFERROR(__xludf.DUMMYFUNCTION("GOOGLETRANSLATE(B324,""en"",""fr"")"),"Conducteur non attribué")</f>
        <v>Conducteur non attribué</v>
      </c>
      <c r="F324" s="4" t="str">
        <f>IFERROR(__xludf.DUMMYFUNCTION("GOOGLETRANSLATE(B324,""en"",""tr"")"),"Sürücü Atanmadı")</f>
        <v>Sürücü Atanmadı</v>
      </c>
      <c r="G324" s="4" t="str">
        <f>IFERROR(__xludf.DUMMYFUNCTION("GOOGLETRANSLATE(B324,""en"",""ru"")"),"Водитель не назначен")</f>
        <v>Водитель не назначен</v>
      </c>
      <c r="H324" s="4" t="str">
        <f>IFERROR(__xludf.DUMMYFUNCTION("GOOGLETRANSLATE(B324,""en"",""it"")"),"Autista non assegnato")</f>
        <v>Autista non assegnato</v>
      </c>
      <c r="I324" s="4" t="str">
        <f>IFERROR(__xludf.DUMMYFUNCTION("GOOGLETRANSLATE(B324,""en"",""de"")"),"Treiber nicht zugewiesen")</f>
        <v>Treiber nicht zugewiesen</v>
      </c>
      <c r="J324" s="4" t="str">
        <f>IFERROR(__xludf.DUMMYFUNCTION("GOOGLETRANSLATE(B324,""en"",""ko"")"),"운전자가 지정되지 않음")</f>
        <v>운전자가 지정되지 않음</v>
      </c>
      <c r="K324" s="4" t="str">
        <f>IFERROR(__xludf.DUMMYFUNCTION("GOOGLETRANSLATE(B324,""en"",""zh"")"),"未指定司机")</f>
        <v>未指定司机</v>
      </c>
      <c r="L324" s="4" t="str">
        <f>IFERROR(__xludf.DUMMYFUNCTION("GOOGLETRANSLATE(B324,""en"",""es"")"),"Conductor no asignado")</f>
        <v>Conductor no asignado</v>
      </c>
      <c r="M324" s="4" t="str">
        <f>IFERROR(__xludf.DUMMYFUNCTION("GOOGLETRANSLATE(B324,""en"",""iw"")"),"נהג לא הוקצה")</f>
        <v>נהג לא הוקצה</v>
      </c>
      <c r="N324" s="4" t="str">
        <f>IFERROR(__xludf.DUMMYFUNCTION("GOOGLETRANSLATE(B324,""en"",""bn"")"),"ড্রাইভার নিয়োগ করা হয়নি")</f>
        <v>ড্রাইভার নিয়োগ করা হয়নি</v>
      </c>
      <c r="O324" s="4" t="str">
        <f>IFERROR(__xludf.DUMMYFUNCTION("GOOGLETRANSLATE(B324,""en"",""pt"")"),"Motorista não atribuído")</f>
        <v>Motorista não atribuído</v>
      </c>
    </row>
    <row r="325">
      <c r="A325" s="21" t="s">
        <v>869</v>
      </c>
      <c r="B325" s="23" t="s">
        <v>870</v>
      </c>
      <c r="C325" s="4" t="str">
        <f>IFERROR(__xludf.DUMMYFUNCTION("GOOGLETRANSLATE(B325,""en"",""hi"")"),"अनुमोदन के लिए प्रतीक्षा")</f>
        <v>अनुमोदन के लिए प्रतीक्षा</v>
      </c>
      <c r="D325" s="4" t="str">
        <f>IFERROR(__xludf.DUMMYFUNCTION("GOOGLETRANSLATE(B325,""en"",""ar"")"),"في انتظار الموافقة")</f>
        <v>في انتظار الموافقة</v>
      </c>
      <c r="E325" s="4" t="str">
        <f>IFERROR(__xludf.DUMMYFUNCTION("GOOGLETRANSLATE(B325,""en"",""fr"")"),"En attente d'approbation")</f>
        <v>En attente d'approbation</v>
      </c>
      <c r="F325" s="4" t="str">
        <f>IFERROR(__xludf.DUMMYFUNCTION("GOOGLETRANSLATE(B325,""en"",""tr"")"),"Onay Bekleniyor")</f>
        <v>Onay Bekleniyor</v>
      </c>
      <c r="G325" s="4" t="str">
        <f>IFERROR(__xludf.DUMMYFUNCTION("GOOGLETRANSLATE(B325,""en"",""ru"")"),"Ожидание одобрения")</f>
        <v>Ожидание одобрения</v>
      </c>
      <c r="H325" s="4" t="str">
        <f>IFERROR(__xludf.DUMMYFUNCTION("GOOGLETRANSLATE(B325,""en"",""it"")"),"In attesa di approvazione")</f>
        <v>In attesa di approvazione</v>
      </c>
      <c r="I325" s="4" t="str">
        <f>IFERROR(__xludf.DUMMYFUNCTION("GOOGLETRANSLATE(B325,""en"",""de"")"),"Warten auf Genehmigung")</f>
        <v>Warten auf Genehmigung</v>
      </c>
      <c r="J325" s="4" t="str">
        <f>IFERROR(__xludf.DUMMYFUNCTION("GOOGLETRANSLATE(B325,""en"",""ko"")"),"승인을 기다리는 중")</f>
        <v>승인을 기다리는 중</v>
      </c>
      <c r="K325" s="4" t="str">
        <f>IFERROR(__xludf.DUMMYFUNCTION("GOOGLETRANSLATE(B325,""en"",""zh"")"),"等待批准")</f>
        <v>等待批准</v>
      </c>
      <c r="L325" s="4" t="str">
        <f>IFERROR(__xludf.DUMMYFUNCTION("GOOGLETRANSLATE(B325,""en"",""es"")"),"Esperando aprobación")</f>
        <v>Esperando aprobación</v>
      </c>
      <c r="M325" s="4" t="str">
        <f>IFERROR(__xludf.DUMMYFUNCTION("GOOGLETRANSLATE(B325,""en"",""iw"")"),"מחכה לאישור")</f>
        <v>מחכה לאישור</v>
      </c>
      <c r="N325" s="4" t="str">
        <f>IFERROR(__xludf.DUMMYFUNCTION("GOOGLETRANSLATE(B325,""en"",""bn"")"),"অনুমোদনের জন্য অপেক্ষা করছে")</f>
        <v>অনুমোদনের জন্য অপেক্ষা করছে</v>
      </c>
      <c r="O325" s="4" t="str">
        <f>IFERROR(__xludf.DUMMYFUNCTION("GOOGLETRANSLATE(B325,""en"",""pt"")"),"Aguardando aprovação")</f>
        <v>Aguardando aprovação</v>
      </c>
    </row>
    <row r="326">
      <c r="A326" s="21" t="s">
        <v>871</v>
      </c>
      <c r="B326" s="22" t="s">
        <v>872</v>
      </c>
      <c r="C326" s="4" t="str">
        <f>IFERROR(__xludf.DUMMYFUNCTION("GOOGLETRANSLATE(B326,""en"",""hi"")"),"कोई वाहन नहीं मिला")</f>
        <v>कोई वाहन नहीं मिला</v>
      </c>
      <c r="D326" s="4" t="str">
        <f>IFERROR(__xludf.DUMMYFUNCTION("GOOGLETRANSLATE(B326,""en"",""ar"")"),"لم يتم العثور على مركبة")</f>
        <v>لم يتم العثور على مركبة</v>
      </c>
      <c r="E326" s="4" t="str">
        <f>IFERROR(__xludf.DUMMYFUNCTION("GOOGLETRANSLATE(B326,""en"",""fr"")"),"Aucun véhicule trouvé")</f>
        <v>Aucun véhicule trouvé</v>
      </c>
      <c r="F326" s="4" t="str">
        <f>IFERROR(__xludf.DUMMYFUNCTION("GOOGLETRANSLATE(B326,""en"",""tr"")"),"Araç Bulunamadı")</f>
        <v>Araç Bulunamadı</v>
      </c>
      <c r="G326" s="4" t="str">
        <f>IFERROR(__xludf.DUMMYFUNCTION("GOOGLETRANSLATE(B326,""en"",""ru"")"),"Транспортное средство не найдено")</f>
        <v>Транспортное средство не найдено</v>
      </c>
      <c r="H326" s="4" t="str">
        <f>IFERROR(__xludf.DUMMYFUNCTION("GOOGLETRANSLATE(B326,""en"",""it"")"),"Nessun veicolo trovato")</f>
        <v>Nessun veicolo trovato</v>
      </c>
      <c r="I326" s="4" t="str">
        <f>IFERROR(__xludf.DUMMYFUNCTION("GOOGLETRANSLATE(B326,""en"",""de"")"),"Kein Fahrzeug gefunden")</f>
        <v>Kein Fahrzeug gefunden</v>
      </c>
      <c r="J326" s="4" t="str">
        <f>IFERROR(__xludf.DUMMYFUNCTION("GOOGLETRANSLATE(B326,""en"",""ko"")"),"차량을 찾을 수 없습니다")</f>
        <v>차량을 찾을 수 없습니다</v>
      </c>
      <c r="K326" s="4" t="str">
        <f>IFERROR(__xludf.DUMMYFUNCTION("GOOGLETRANSLATE(B326,""en"",""zh"")"),"未找到车辆")</f>
        <v>未找到车辆</v>
      </c>
      <c r="L326" s="4" t="str">
        <f>IFERROR(__xludf.DUMMYFUNCTION("GOOGLETRANSLATE(B326,""en"",""es"")"),"No se encontró ningún vehículo")</f>
        <v>No se encontró ningún vehículo</v>
      </c>
      <c r="M326" s="4" t="str">
        <f>IFERROR(__xludf.DUMMYFUNCTION("GOOGLETRANSLATE(B326,""en"",""iw"")"),"לא נמצא רכב")</f>
        <v>לא נמצא רכב</v>
      </c>
      <c r="N326" s="4" t="str">
        <f>IFERROR(__xludf.DUMMYFUNCTION("GOOGLETRANSLATE(B326,""en"",""bn"")"),"কোন যানবাহন পাওয়া যায়নি")</f>
        <v>কোন যানবাহন পাওয়া যায়নি</v>
      </c>
      <c r="O326" s="4" t="str">
        <f>IFERROR(__xludf.DUMMYFUNCTION("GOOGLETRANSLATE(B326,""en"",""pt"")"),"Nenhum veículo encontrado")</f>
        <v>Nenhum veículo encontrado</v>
      </c>
    </row>
    <row r="327">
      <c r="A327" s="21" t="s">
        <v>873</v>
      </c>
      <c r="B327" s="22" t="s">
        <v>874</v>
      </c>
      <c r="C327" s="4" t="str">
        <f>IFERROR(__xludf.DUMMYFUNCTION("GOOGLETRANSLATE(B327,""en"",""hi"")"),"ड्राइवर नियुक्त करें")</f>
        <v>ड्राइवर नियुक्त करें</v>
      </c>
      <c r="D327" s="4" t="str">
        <f>IFERROR(__xludf.DUMMYFUNCTION("GOOGLETRANSLATE(B327,""en"",""ar"")"),"تعيين السائق")</f>
        <v>تعيين السائق</v>
      </c>
      <c r="E327" s="4" t="str">
        <f>IFERROR(__xludf.DUMMYFUNCTION("GOOGLETRANSLATE(B327,""en"",""fr"")"),"Affecter un conducteur")</f>
        <v>Affecter un conducteur</v>
      </c>
      <c r="F327" s="4" t="str">
        <f>IFERROR(__xludf.DUMMYFUNCTION("GOOGLETRANSLATE(B327,""en"",""tr"")"),"Sürücü Ata")</f>
        <v>Sürücü Ata</v>
      </c>
      <c r="G327" s="4" t="str">
        <f>IFERROR(__xludf.DUMMYFUNCTION("GOOGLETRANSLATE(B327,""en"",""ru"")"),"Назначить водителя")</f>
        <v>Назначить водителя</v>
      </c>
      <c r="H327" s="4" t="str">
        <f>IFERROR(__xludf.DUMMYFUNCTION("GOOGLETRANSLATE(B327,""en"",""it"")"),"Assegna autista")</f>
        <v>Assegna autista</v>
      </c>
      <c r="I327" s="4" t="str">
        <f>IFERROR(__xludf.DUMMYFUNCTION("GOOGLETRANSLATE(B327,""en"",""de"")"),"Fahrer zuweisen")</f>
        <v>Fahrer zuweisen</v>
      </c>
      <c r="J327" s="4" t="str">
        <f>IFERROR(__xludf.DUMMYFUNCTION("GOOGLETRANSLATE(B327,""en"",""ko"")"),"운전자 지정")</f>
        <v>운전자 지정</v>
      </c>
      <c r="K327" s="4" t="str">
        <f>IFERROR(__xludf.DUMMYFUNCTION("GOOGLETRANSLATE(B327,""en"",""zh"")"),"指定司机")</f>
        <v>指定司机</v>
      </c>
      <c r="L327" s="4" t="str">
        <f>IFERROR(__xludf.DUMMYFUNCTION("GOOGLETRANSLATE(B327,""en"",""es"")"),"Asignar conductor")</f>
        <v>Asignar conductor</v>
      </c>
      <c r="M327" s="4" t="str">
        <f>IFERROR(__xludf.DUMMYFUNCTION("GOOGLETRANSLATE(B327,""en"",""iw"")"),"הקצה דרייבר")</f>
        <v>הקצה דרייבר</v>
      </c>
      <c r="N327" s="4" t="str">
        <f>IFERROR(__xludf.DUMMYFUNCTION("GOOGLETRANSLATE(B327,""en"",""bn"")"),"ড্রাইভার নিয়োগ করুন")</f>
        <v>ড্রাইভার নিয়োগ করুন</v>
      </c>
      <c r="O327" s="4" t="str">
        <f>IFERROR(__xludf.DUMMYFUNCTION("GOOGLETRANSLATE(B327,""en"",""pt"")"),"Atribuir motorista")</f>
        <v>Atribuir motorista</v>
      </c>
    </row>
    <row r="328">
      <c r="A328" s="21" t="s">
        <v>875</v>
      </c>
      <c r="B328" s="22" t="s">
        <v>876</v>
      </c>
      <c r="C328" s="4" t="str">
        <f>IFERROR(__xludf.DUMMYFUNCTION("GOOGLETRANSLATE(B328,""en"",""hi"")"),"दस्तावेज़ अपलोड करें")</f>
        <v>दस्तावेज़ अपलोड करें</v>
      </c>
      <c r="D328" s="4" t="str">
        <f>IFERROR(__xludf.DUMMYFUNCTION("GOOGLETRANSLATE(B328,""en"",""ar"")"),"تحميل المستندات")</f>
        <v>تحميل المستندات</v>
      </c>
      <c r="E328" s="4" t="str">
        <f>IFERROR(__xludf.DUMMYFUNCTION("GOOGLETRANSLATE(B328,""en"",""fr"")"),"Télécharger des documents")</f>
        <v>Télécharger des documents</v>
      </c>
      <c r="F328" s="4" t="str">
        <f>IFERROR(__xludf.DUMMYFUNCTION("GOOGLETRANSLATE(B328,""en"",""tr"")"),"Belgeleri Yükle")</f>
        <v>Belgeleri Yükle</v>
      </c>
      <c r="G328" s="4" t="str">
        <f>IFERROR(__xludf.DUMMYFUNCTION("GOOGLETRANSLATE(B328,""en"",""ru"")"),"Загрузить документы")</f>
        <v>Загрузить документы</v>
      </c>
      <c r="H328" s="4" t="str">
        <f>IFERROR(__xludf.DUMMYFUNCTION("GOOGLETRANSLATE(B328,""en"",""it"")"),"Carica documenti")</f>
        <v>Carica documenti</v>
      </c>
      <c r="I328" s="4" t="str">
        <f>IFERROR(__xludf.DUMMYFUNCTION("GOOGLETRANSLATE(B328,""en"",""de"")"),"Dokumente hochladen")</f>
        <v>Dokumente hochladen</v>
      </c>
      <c r="J328" s="4" t="str">
        <f>IFERROR(__xludf.DUMMYFUNCTION("GOOGLETRANSLATE(B328,""en"",""ko"")"),"문서 업로드")</f>
        <v>문서 업로드</v>
      </c>
      <c r="K328" s="4" t="str">
        <f>IFERROR(__xludf.DUMMYFUNCTION("GOOGLETRANSLATE(B328,""en"",""zh"")"),"上传文档")</f>
        <v>上传文档</v>
      </c>
      <c r="L328" s="4" t="str">
        <f>IFERROR(__xludf.DUMMYFUNCTION("GOOGLETRANSLATE(B328,""en"",""es"")"),"Subir documentos")</f>
        <v>Subir documentos</v>
      </c>
      <c r="M328" s="4" t="str">
        <f>IFERROR(__xludf.DUMMYFUNCTION("GOOGLETRANSLATE(B328,""en"",""iw"")"),"העלה מסמכים")</f>
        <v>העלה מסמכים</v>
      </c>
      <c r="N328" s="4" t="str">
        <f>IFERROR(__xludf.DUMMYFUNCTION("GOOGLETRANSLATE(B328,""en"",""bn"")"),"ডক্স আপলোড করুন")</f>
        <v>ডক্স আপলোড করুন</v>
      </c>
      <c r="O328" s="4" t="str">
        <f>IFERROR(__xludf.DUMMYFUNCTION("GOOGLETRANSLATE(B328,""en"",""pt"")"),"Carregar documentos")</f>
        <v>Carregar documentos</v>
      </c>
    </row>
    <row r="329">
      <c r="A329" s="21" t="s">
        <v>877</v>
      </c>
      <c r="B329" s="22" t="s">
        <v>878</v>
      </c>
      <c r="C329" s="4" t="str">
        <f>IFERROR(__xludf.DUMMYFUNCTION("GOOGLETRANSLATE(B329,""en"",""hi"")"),"वाहन सफलतापूर्वक जोड़ा गया")</f>
        <v>वाहन सफलतापूर्वक जोड़ा गया</v>
      </c>
      <c r="D329" s="4" t="str">
        <f>IFERROR(__xludf.DUMMYFUNCTION("GOOGLETRANSLATE(B329,""en"",""ar"")"),"تمت إضافة السيارة بنجاح")</f>
        <v>تمت إضافة السيارة بنجاح</v>
      </c>
      <c r="E329" s="4" t="str">
        <f>IFERROR(__xludf.DUMMYFUNCTION("GOOGLETRANSLATE(B329,""en"",""fr"")"),"Véhicule ajouté avec succès")</f>
        <v>Véhicule ajouté avec succès</v>
      </c>
      <c r="F329" s="4" t="str">
        <f>IFERROR(__xludf.DUMMYFUNCTION("GOOGLETRANSLATE(B329,""en"",""tr"")"),"Araç Başarıyla Eklendi")</f>
        <v>Araç Başarıyla Eklendi</v>
      </c>
      <c r="G329" s="4" t="str">
        <f>IFERROR(__xludf.DUMMYFUNCTION("GOOGLETRANSLATE(B329,""en"",""ru"")"),"Автомобиль успешно добавлен")</f>
        <v>Автомобиль успешно добавлен</v>
      </c>
      <c r="H329" s="4" t="str">
        <f>IFERROR(__xludf.DUMMYFUNCTION("GOOGLETRANSLATE(B329,""en"",""it"")"),"Veicolo aggiunto con successo")</f>
        <v>Veicolo aggiunto con successo</v>
      </c>
      <c r="I329" s="4" t="str">
        <f>IFERROR(__xludf.DUMMYFUNCTION("GOOGLETRANSLATE(B329,""en"",""de"")"),"Fahrzeug erfolgreich hinzugefügt")</f>
        <v>Fahrzeug erfolgreich hinzugefügt</v>
      </c>
      <c r="J329" s="4" t="str">
        <f>IFERROR(__xludf.DUMMYFUNCTION("GOOGLETRANSLATE(B329,""en"",""ko"")"),"차량이 성공적으로 추가되었습니다")</f>
        <v>차량이 성공적으로 추가되었습니다</v>
      </c>
      <c r="K329" s="4" t="str">
        <f>IFERROR(__xludf.DUMMYFUNCTION("GOOGLETRANSLATE(B329,""en"",""zh"")"),"车辆添加成功")</f>
        <v>车辆添加成功</v>
      </c>
      <c r="L329" s="4" t="str">
        <f>IFERROR(__xludf.DUMMYFUNCTION("GOOGLETRANSLATE(B329,""en"",""es"")"),"Vehículo añadido correctamente")</f>
        <v>Vehículo añadido correctamente</v>
      </c>
      <c r="M329" s="4" t="str">
        <f>IFERROR(__xludf.DUMMYFUNCTION("GOOGLETRANSLATE(B329,""en"",""iw"")"),"הרכב נוסף בהצלחה")</f>
        <v>הרכב נוסף בהצלחה</v>
      </c>
      <c r="N329" s="4" t="str">
        <f>IFERROR(__xludf.DUMMYFUNCTION("GOOGLETRANSLATE(B329,""en"",""bn"")"),"যানবাহন সফলভাবে যোগ করা হয়েছে৷")</f>
        <v>যানবাহন সফলভাবে যোগ করা হয়েছে৷</v>
      </c>
      <c r="O329" s="4" t="str">
        <f>IFERROR(__xludf.DUMMYFUNCTION("GOOGLETRANSLATE(B329,""en"",""pt"")"),"Veículo adicionado com sucesso")</f>
        <v>Veículo adicionado com sucesso</v>
      </c>
    </row>
    <row r="330">
      <c r="A330" s="21" t="s">
        <v>879</v>
      </c>
      <c r="B330" s="22" t="s">
        <v>880</v>
      </c>
      <c r="C330" s="4" t="str">
        <f>IFERROR(__xludf.DUMMYFUNCTION("GOOGLETRANSLATE(B330,""en"",""hi"")"),"तस्वीर जोड़ो")</f>
        <v>तस्वीर जोड़ो</v>
      </c>
      <c r="D330" s="4" t="str">
        <f>IFERROR(__xludf.DUMMYFUNCTION("GOOGLETRANSLATE(B330,""en"",""ar"")"),"أضف صورة")</f>
        <v>أضف صورة</v>
      </c>
      <c r="E330" s="4" t="str">
        <f>IFERROR(__xludf.DUMMYFUNCTION("GOOGLETRANSLATE(B330,""en"",""fr"")"),"Ajouter une photo")</f>
        <v>Ajouter une photo</v>
      </c>
      <c r="F330" s="4" t="str">
        <f>IFERROR(__xludf.DUMMYFUNCTION("GOOGLETRANSLATE(B330,""en"",""tr"")"),"Fotoğraf Ekle")</f>
        <v>Fotoğraf Ekle</v>
      </c>
      <c r="G330" s="4" t="str">
        <f>IFERROR(__xludf.DUMMYFUNCTION("GOOGLETRANSLATE(B330,""en"",""ru"")"),"Добавить фото")</f>
        <v>Добавить фото</v>
      </c>
      <c r="H330" s="4" t="str">
        <f>IFERROR(__xludf.DUMMYFUNCTION("GOOGLETRANSLATE(B330,""en"",""it"")"),"Aggiungi foto")</f>
        <v>Aggiungi foto</v>
      </c>
      <c r="I330" s="4" t="str">
        <f>IFERROR(__xludf.DUMMYFUNCTION("GOOGLETRANSLATE(B330,""en"",""de"")"),"Foto hinzufügen")</f>
        <v>Foto hinzufügen</v>
      </c>
      <c r="J330" s="4" t="str">
        <f>IFERROR(__xludf.DUMMYFUNCTION("GOOGLETRANSLATE(B330,""en"",""ko"")"),"사진 추가")</f>
        <v>사진 추가</v>
      </c>
      <c r="K330" s="4" t="str">
        <f>IFERROR(__xludf.DUMMYFUNCTION("GOOGLETRANSLATE(B330,""en"",""zh"")"),"添加照片")</f>
        <v>添加照片</v>
      </c>
      <c r="L330" s="4" t="str">
        <f>IFERROR(__xludf.DUMMYFUNCTION("GOOGLETRANSLATE(B330,""en"",""es"")"),"Añadir foto")</f>
        <v>Añadir foto</v>
      </c>
      <c r="M330" s="4" t="str">
        <f>IFERROR(__xludf.DUMMYFUNCTION("GOOGLETRANSLATE(B330,""en"",""iw"")"),"הוסף תמונה")</f>
        <v>הוסף תמונה</v>
      </c>
      <c r="N330" s="4" t="str">
        <f>IFERROR(__xludf.DUMMYFUNCTION("GOOGLETRANSLATE(B330,""en"",""bn"")"),"ফটো যোগ করুন")</f>
        <v>ফটো যোগ করুন</v>
      </c>
      <c r="O330" s="4" t="str">
        <f>IFERROR(__xludf.DUMMYFUNCTION("GOOGLETRANSLATE(B330,""en"",""pt"")"),"Adicionar foto")</f>
        <v>Adicionar foto</v>
      </c>
    </row>
    <row r="331">
      <c r="A331" s="21" t="s">
        <v>881</v>
      </c>
      <c r="B331" s="22" t="s">
        <v>882</v>
      </c>
      <c r="C331" s="4" t="str">
        <f>IFERROR(__xludf.DUMMYFUNCTION("GOOGLETRANSLATE(B331,""en"",""hi"")"),"ड्राइवर के रूप में लॉगिन करें")</f>
        <v>ड्राइवर के रूप में लॉगिन करें</v>
      </c>
      <c r="D331" s="4" t="str">
        <f>IFERROR(__xludf.DUMMYFUNCTION("GOOGLETRANSLATE(B331,""en"",""ar"")"),"تسجيل الدخول كسائق")</f>
        <v>تسجيل الدخول كسائق</v>
      </c>
      <c r="E331" s="4" t="str">
        <f>IFERROR(__xludf.DUMMYFUNCTION("GOOGLETRANSLATE(B331,""en"",""fr"")"),"Connectez-vous en tant que conducteur")</f>
        <v>Connectez-vous en tant que conducteur</v>
      </c>
      <c r="F331" s="4" t="str">
        <f>IFERROR(__xludf.DUMMYFUNCTION("GOOGLETRANSLATE(B331,""en"",""tr"")"),"Sürücü olarak giriş yapın")</f>
        <v>Sürücü olarak giriş yapın</v>
      </c>
      <c r="G331" s="4" t="str">
        <f>IFERROR(__xludf.DUMMYFUNCTION("GOOGLETRANSLATE(B331,""en"",""ru"")"),"Войти как водитель")</f>
        <v>Войти как водитель</v>
      </c>
      <c r="H331" s="4" t="str">
        <f>IFERROR(__xludf.DUMMYFUNCTION("GOOGLETRANSLATE(B331,""en"",""it"")"),"Accedi come autista")</f>
        <v>Accedi come autista</v>
      </c>
      <c r="I331" s="4" t="str">
        <f>IFERROR(__xludf.DUMMYFUNCTION("GOOGLETRANSLATE(B331,""en"",""de"")"),"Als Fahrer anmelden")</f>
        <v>Als Fahrer anmelden</v>
      </c>
      <c r="J331" s="4" t="str">
        <f>IFERROR(__xludf.DUMMYFUNCTION("GOOGLETRANSLATE(B331,""en"",""ko"")"),"드라이버로 로그인")</f>
        <v>드라이버로 로그인</v>
      </c>
      <c r="K331" s="4" t="str">
        <f>IFERROR(__xludf.DUMMYFUNCTION("GOOGLETRANSLATE(B331,""en"",""zh"")"),"以司机身份登录")</f>
        <v>以司机身份登录</v>
      </c>
      <c r="L331" s="4" t="str">
        <f>IFERROR(__xludf.DUMMYFUNCTION("GOOGLETRANSLATE(B331,""en"",""es"")"),"Iniciar sesión como conductor")</f>
        <v>Iniciar sesión como conductor</v>
      </c>
      <c r="M331" s="4" t="str">
        <f>IFERROR(__xludf.DUMMYFUNCTION("GOOGLETRANSLATE(B331,""en"",""iw"")"),"התחבר כנהג")</f>
        <v>התחבר כנהג</v>
      </c>
      <c r="N331" s="4" t="str">
        <f>IFERROR(__xludf.DUMMYFUNCTION("GOOGLETRANSLATE(B331,""en"",""bn"")"),"ড্রাইভার হিসাবে লগইন করুন")</f>
        <v>ড্রাইভার হিসাবে লগইন করুন</v>
      </c>
      <c r="O331" s="4" t="str">
        <f>IFERROR(__xludf.DUMMYFUNCTION("GOOGLETRANSLATE(B331,""en"",""pt"")"),"Faça login como motorista")</f>
        <v>Faça login como motorista</v>
      </c>
    </row>
    <row r="332">
      <c r="A332" s="21" t="s">
        <v>883</v>
      </c>
      <c r="B332" s="22" t="s">
        <v>884</v>
      </c>
      <c r="C332" s="4" t="str">
        <f>IFERROR(__xludf.DUMMYFUNCTION("GOOGLETRANSLATE(B332,""en"",""hi"")"),"स्वामी के रूप में लॉगिन करें")</f>
        <v>स्वामी के रूप में लॉगिन करें</v>
      </c>
      <c r="D332" s="4" t="str">
        <f>IFERROR(__xludf.DUMMYFUNCTION("GOOGLETRANSLATE(B332,""en"",""ar"")"),"تسجيل الدخول كمالك")</f>
        <v>تسجيل الدخول كمالك</v>
      </c>
      <c r="E332" s="4" t="str">
        <f>IFERROR(__xludf.DUMMYFUNCTION("GOOGLETRANSLATE(B332,""en"",""fr"")"),"Connectez-vous en tant que propriétaire")</f>
        <v>Connectez-vous en tant que propriétaire</v>
      </c>
      <c r="F332" s="4" t="str">
        <f>IFERROR(__xludf.DUMMYFUNCTION("GOOGLETRANSLATE(B332,""en"",""tr"")"),"Sahip olarak giriş yapın")</f>
        <v>Sahip olarak giriş yapın</v>
      </c>
      <c r="G332" s="4" t="str">
        <f>IFERROR(__xludf.DUMMYFUNCTION("GOOGLETRANSLATE(B332,""en"",""ru"")"),"Войти как владелец")</f>
        <v>Войти как владелец</v>
      </c>
      <c r="H332" s="4" t="str">
        <f>IFERROR(__xludf.DUMMYFUNCTION("GOOGLETRANSLATE(B332,""en"",""it"")"),"Accedi come proprietario")</f>
        <v>Accedi come proprietario</v>
      </c>
      <c r="I332" s="4" t="str">
        <f>IFERROR(__xludf.DUMMYFUNCTION("GOOGLETRANSLATE(B332,""en"",""de"")"),"Als Eigentümer anmelden")</f>
        <v>Als Eigentümer anmelden</v>
      </c>
      <c r="J332" s="4" t="str">
        <f>IFERROR(__xludf.DUMMYFUNCTION("GOOGLETRANSLATE(B332,""en"",""ko"")"),"소유자로 로그인")</f>
        <v>소유자로 로그인</v>
      </c>
      <c r="K332" s="4" t="str">
        <f>IFERROR(__xludf.DUMMYFUNCTION("GOOGLETRANSLATE(B332,""en"",""zh"")"),"以所有者身份登录")</f>
        <v>以所有者身份登录</v>
      </c>
      <c r="L332" s="4" t="str">
        <f>IFERROR(__xludf.DUMMYFUNCTION("GOOGLETRANSLATE(B332,""en"",""es"")"),"Iniciar sesión como propietario")</f>
        <v>Iniciar sesión como propietario</v>
      </c>
      <c r="M332" s="4" t="str">
        <f>IFERROR(__xludf.DUMMYFUNCTION("GOOGLETRANSLATE(B332,""en"",""iw"")"),"התחבר כבעלים")</f>
        <v>התחבר כבעלים</v>
      </c>
      <c r="N332" s="4" t="str">
        <f>IFERROR(__xludf.DUMMYFUNCTION("GOOGLETRANSLATE(B332,""en"",""bn"")"),"একটি মালিক হিসাবে লগইন করুন")</f>
        <v>একটি মালিক হিসাবে লগইন করুন</v>
      </c>
      <c r="O332" s="4" t="str">
        <f>IFERROR(__xludf.DUMMYFUNCTION("GOOGLETRANSLATE(B332,""en"",""pt"")"),"Faça login como proprietário")</f>
        <v>Faça login como proprietário</v>
      </c>
    </row>
    <row r="333">
      <c r="A333" s="21" t="s">
        <v>885</v>
      </c>
      <c r="B333" s="22" t="s">
        <v>886</v>
      </c>
      <c r="C333" s="4" t="str">
        <f>IFERROR(__xludf.DUMMYFUNCTION("GOOGLETRANSLATE(B333,""en"",""hi"")"),"बेड़े का विवरण")</f>
        <v>बेड़े का विवरण</v>
      </c>
      <c r="D333" s="4" t="str">
        <f>IFERROR(__xludf.DUMMYFUNCTION("GOOGLETRANSLATE(B333,""en"",""ar"")"),"تفاصيل الأسطول")</f>
        <v>تفاصيل الأسطول</v>
      </c>
      <c r="E333" s="4" t="str">
        <f>IFERROR(__xludf.DUMMYFUNCTION("GOOGLETRANSLATE(B333,""en"",""fr"")"),"Détails de la flotte")</f>
        <v>Détails de la flotte</v>
      </c>
      <c r="F333" s="4" t="str">
        <f>IFERROR(__xludf.DUMMYFUNCTION("GOOGLETRANSLATE(B333,""en"",""tr"")"),"Filo Detayları")</f>
        <v>Filo Detayları</v>
      </c>
      <c r="G333" s="4" t="str">
        <f>IFERROR(__xludf.DUMMYFUNCTION("GOOGLETRANSLATE(B333,""en"",""ru"")"),"Подробности флота")</f>
        <v>Подробности флота</v>
      </c>
      <c r="H333" s="4" t="str">
        <f>IFERROR(__xludf.DUMMYFUNCTION("GOOGLETRANSLATE(B333,""en"",""it"")"),"Dettagli della flotta")</f>
        <v>Dettagli della flotta</v>
      </c>
      <c r="I333" s="4" t="str">
        <f>IFERROR(__xludf.DUMMYFUNCTION("GOOGLETRANSLATE(B333,""en"",""de"")"),"Flottendetails")</f>
        <v>Flottendetails</v>
      </c>
      <c r="J333" s="4" t="str">
        <f>IFERROR(__xludf.DUMMYFUNCTION("GOOGLETRANSLATE(B333,""en"",""ko"")"),"함대 세부 정보")</f>
        <v>함대 세부 정보</v>
      </c>
      <c r="K333" s="4" t="str">
        <f>IFERROR(__xludf.DUMMYFUNCTION("GOOGLETRANSLATE(B333,""en"",""zh"")"),"机队详情")</f>
        <v>机队详情</v>
      </c>
      <c r="L333" s="4" t="str">
        <f>IFERROR(__xludf.DUMMYFUNCTION("GOOGLETRANSLATE(B333,""en"",""es"")"),"Detalles de la flota")</f>
        <v>Detalles de la flota</v>
      </c>
      <c r="M333" s="4" t="str">
        <f>IFERROR(__xludf.DUMMYFUNCTION("GOOGLETRANSLATE(B333,""en"",""iw"")"),"פרטי הצי")</f>
        <v>פרטי הצי</v>
      </c>
      <c r="N333" s="4" t="str">
        <f>IFERROR(__xludf.DUMMYFUNCTION("GOOGLETRANSLATE(B333,""en"",""bn"")"),"নৌবহরের বিবরণ")</f>
        <v>নৌবহরের বিবরণ</v>
      </c>
      <c r="O333" s="4" t="str">
        <f>IFERROR(__xludf.DUMMYFUNCTION("GOOGLETRANSLATE(B333,""en"",""pt"")"),"Detalhes da frota")</f>
        <v>Detalhes da frota</v>
      </c>
    </row>
    <row r="334">
      <c r="A334" s="21" t="s">
        <v>887</v>
      </c>
      <c r="B334" s="22" t="s">
        <v>888</v>
      </c>
      <c r="C334" s="4" t="str">
        <f>IFERROR(__xludf.DUMMYFUNCTION("GOOGLETRANSLATE(B334,""en"",""hi"")"),"ड्राइवर हटाएँ")</f>
        <v>ड्राइवर हटाएँ</v>
      </c>
      <c r="D334" s="4" t="str">
        <f>IFERROR(__xludf.DUMMYFUNCTION("GOOGLETRANSLATE(B334,""en"",""ar"")"),"حذف برنامج التشغيل")</f>
        <v>حذف برنامج التشغيل</v>
      </c>
      <c r="E334" s="4" t="str">
        <f>IFERROR(__xludf.DUMMYFUNCTION("GOOGLETRANSLATE(B334,""en"",""fr"")"),"Supprimer le pilote")</f>
        <v>Supprimer le pilote</v>
      </c>
      <c r="F334" s="4" t="str">
        <f>IFERROR(__xludf.DUMMYFUNCTION("GOOGLETRANSLATE(B334,""en"",""tr"")"),"Sürücüyü Sil")</f>
        <v>Sürücüyü Sil</v>
      </c>
      <c r="G334" s="4" t="str">
        <f>IFERROR(__xludf.DUMMYFUNCTION("GOOGLETRANSLATE(B334,""en"",""ru"")"),"Удалить драйвер")</f>
        <v>Удалить драйвер</v>
      </c>
      <c r="H334" s="4" t="str">
        <f>IFERROR(__xludf.DUMMYFUNCTION("GOOGLETRANSLATE(B334,""en"",""it"")"),"Elimina driver")</f>
        <v>Elimina driver</v>
      </c>
      <c r="I334" s="4" t="str">
        <f>IFERROR(__xludf.DUMMYFUNCTION("GOOGLETRANSLATE(B334,""en"",""de"")"),"Treiber löschen")</f>
        <v>Treiber löschen</v>
      </c>
      <c r="J334" s="4" t="str">
        <f>IFERROR(__xludf.DUMMYFUNCTION("GOOGLETRANSLATE(B334,""en"",""ko"")"),"드라이버 삭제")</f>
        <v>드라이버 삭제</v>
      </c>
      <c r="K334" s="4" t="str">
        <f>IFERROR(__xludf.DUMMYFUNCTION("GOOGLETRANSLATE(B334,""en"",""zh"")"),"删除驱动程序")</f>
        <v>删除驱动程序</v>
      </c>
      <c r="L334" s="4" t="str">
        <f>IFERROR(__xludf.DUMMYFUNCTION("GOOGLETRANSLATE(B334,""en"",""es"")"),"Eliminar controlador")</f>
        <v>Eliminar controlador</v>
      </c>
      <c r="M334" s="4" t="str">
        <f>IFERROR(__xludf.DUMMYFUNCTION("GOOGLETRANSLATE(B334,""en"",""iw"")"),"מחק דרייבר")</f>
        <v>מחק דרייבר</v>
      </c>
      <c r="N334" s="4" t="str">
        <f>IFERROR(__xludf.DUMMYFUNCTION("GOOGLETRANSLATE(B334,""en"",""bn"")"),"ড্রাইভার মুছুন")</f>
        <v>ড্রাইভার মুছুন</v>
      </c>
      <c r="O334" s="4" t="str">
        <f>IFERROR(__xludf.DUMMYFUNCTION("GOOGLETRANSLATE(B334,""en"",""pt"")"),"Excluir driver")</f>
        <v>Excluir driver</v>
      </c>
    </row>
    <row r="335">
      <c r="A335" s="21" t="s">
        <v>889</v>
      </c>
      <c r="B335" s="22" t="s">
        <v>890</v>
      </c>
      <c r="C335" s="4" t="str">
        <f>IFERROR(__xludf.DUMMYFUNCTION("GOOGLETRANSLATE(B335,""en"",""hi"")"),"क्या आप वाकई इस ड्राइवर को हटाना चाहते हैं?")</f>
        <v>क्या आप वाकई इस ड्राइवर को हटाना चाहते हैं?</v>
      </c>
      <c r="D335" s="4" t="str">
        <f>IFERROR(__xludf.DUMMYFUNCTION("GOOGLETRANSLATE(B335,""en"",""ar"")"),"هل أنت متأكد من أنك تريد حذف هذا البرنامج؟")</f>
        <v>هل أنت متأكد من أنك تريد حذف هذا البرنامج؟</v>
      </c>
      <c r="E335" s="4" t="str">
        <f>IFERROR(__xludf.DUMMYFUNCTION("GOOGLETRANSLATE(B335,""en"",""fr"")"),"Êtes-vous sûr de vouloir supprimer ce pilote ?")</f>
        <v>Êtes-vous sûr de vouloir supprimer ce pilote ?</v>
      </c>
      <c r="F335" s="4" t="str">
        <f>IFERROR(__xludf.DUMMYFUNCTION("GOOGLETRANSLATE(B335,""en"",""tr"")"),"Bu sürücüyü silmek istediğinizden emin misiniz?")</f>
        <v>Bu sürücüyü silmek istediğinizden emin misiniz?</v>
      </c>
      <c r="G335" s="4" t="str">
        <f>IFERROR(__xludf.DUMMYFUNCTION("GOOGLETRANSLATE(B335,""en"",""ru"")"),"Вы уверены, что хотите удалить этот драйвер?")</f>
        <v>Вы уверены, что хотите удалить этот драйвер?</v>
      </c>
      <c r="H335" s="4" t="str">
        <f>IFERROR(__xludf.DUMMYFUNCTION("GOOGLETRANSLATE(B335,""en"",""it"")"),"Vuoi davvero eliminare questo driver?")</f>
        <v>Vuoi davvero eliminare questo driver?</v>
      </c>
      <c r="I335" s="4" t="str">
        <f>IFERROR(__xludf.DUMMYFUNCTION("GOOGLETRANSLATE(B335,""en"",""de"")"),"Möchten Sie diesen Treiber wirklich löschen?")</f>
        <v>Möchten Sie diesen Treiber wirklich löschen?</v>
      </c>
      <c r="J335" s="4" t="str">
        <f>IFERROR(__xludf.DUMMYFUNCTION("GOOGLETRANSLATE(B335,""en"",""ko"")"),"이 드라이버를 삭제하시겠습니까?")</f>
        <v>이 드라이버를 삭제하시겠습니까?</v>
      </c>
      <c r="K335" s="4" t="str">
        <f>IFERROR(__xludf.DUMMYFUNCTION("GOOGLETRANSLATE(B335,""en"",""zh"")"),"您确定要删除该驱动程序吗？")</f>
        <v>您确定要删除该驱动程序吗？</v>
      </c>
      <c r="L335" s="4" t="str">
        <f>IFERROR(__xludf.DUMMYFUNCTION("GOOGLETRANSLATE(B335,""en"",""es"")"),"¿Está seguro de que desea eliminar este controlador?")</f>
        <v>¿Está seguro de que desea eliminar este controlador?</v>
      </c>
      <c r="M335" s="4" t="str">
        <f>IFERROR(__xludf.DUMMYFUNCTION("GOOGLETRANSLATE(B335,""en"",""iw"")"),"האם אתה בטוח שברצונך למחוק את מנהל ההתקן הזה?")</f>
        <v>האם אתה בטוח שברצונך למחוק את מנהל ההתקן הזה?</v>
      </c>
      <c r="N335" s="4" t="str">
        <f>IFERROR(__xludf.DUMMYFUNCTION("GOOGLETRANSLATE(B335,""en"",""bn"")"),"আপনি কি এই ড্রাইভার মুছতে চান?")</f>
        <v>আপনি কি এই ড্রাইভার মুছতে চান?</v>
      </c>
      <c r="O335" s="4" t="str">
        <f>IFERROR(__xludf.DUMMYFUNCTION("GOOGLETRANSLATE(B335,""en"",""pt"")"),"Tem certeza de que deseja excluir este driver?")</f>
        <v>Tem certeza de que deseja excluir este driver?</v>
      </c>
    </row>
    <row r="336">
      <c r="A336" s="21" t="s">
        <v>891</v>
      </c>
      <c r="B336" s="22" t="s">
        <v>892</v>
      </c>
      <c r="C336" s="4" t="str">
        <f>IFERROR(__xludf.DUMMYFUNCTION("GOOGLETRANSLATE(B336,""en"",""hi"")"),"हाँ")</f>
        <v>हाँ</v>
      </c>
      <c r="D336" s="4" t="str">
        <f>IFERROR(__xludf.DUMMYFUNCTION("GOOGLETRANSLATE(B336,""en"",""ar"")"),"نعم")</f>
        <v>نعم</v>
      </c>
      <c r="E336" s="4" t="str">
        <f>IFERROR(__xludf.DUMMYFUNCTION("GOOGLETRANSLATE(B336,""en"",""fr"")"),"Oui")</f>
        <v>Oui</v>
      </c>
      <c r="F336" s="4" t="str">
        <f>IFERROR(__xludf.DUMMYFUNCTION("GOOGLETRANSLATE(B336,""en"",""tr"")"),"Evet")</f>
        <v>Evet</v>
      </c>
      <c r="G336" s="4" t="str">
        <f>IFERROR(__xludf.DUMMYFUNCTION("GOOGLETRANSLATE(B336,""en"",""ru"")"),"Да")</f>
        <v>Да</v>
      </c>
      <c r="H336" s="4" t="str">
        <f>IFERROR(__xludf.DUMMYFUNCTION("GOOGLETRANSLATE(B336,""en"",""it"")"),"SÌ")</f>
        <v>SÌ</v>
      </c>
      <c r="I336" s="4" t="str">
        <f>IFERROR(__xludf.DUMMYFUNCTION("GOOGLETRANSLATE(B336,""en"",""de"")"),"Ja")</f>
        <v>Ja</v>
      </c>
      <c r="J336" s="4" t="str">
        <f>IFERROR(__xludf.DUMMYFUNCTION("GOOGLETRANSLATE(B336,""en"",""ko"")"),"예")</f>
        <v>예</v>
      </c>
      <c r="K336" s="4" t="str">
        <f>IFERROR(__xludf.DUMMYFUNCTION("GOOGLETRANSLATE(B336,""en"",""zh"")"),"是的")</f>
        <v>是的</v>
      </c>
      <c r="L336" s="4" t="str">
        <f>IFERROR(__xludf.DUMMYFUNCTION("GOOGLETRANSLATE(B336,""en"",""es"")"),"Sí")</f>
        <v>Sí</v>
      </c>
      <c r="M336" s="4" t="str">
        <f>IFERROR(__xludf.DUMMYFUNCTION("GOOGLETRANSLATE(B336,""en"",""iw"")"),"כֵּן")</f>
        <v>כֵּן</v>
      </c>
      <c r="N336" s="4" t="str">
        <f>IFERROR(__xludf.DUMMYFUNCTION("GOOGLETRANSLATE(B336,""en"",""bn"")"),"হ্যাঁ")</f>
        <v>হ্যাঁ</v>
      </c>
      <c r="O336" s="4" t="str">
        <f>IFERROR(__xludf.DUMMYFUNCTION("GOOGLETRANSLATE(B336,""en"",""pt"")"),"Sim")</f>
        <v>Sim</v>
      </c>
    </row>
    <row r="337">
      <c r="A337" s="21" t="s">
        <v>893</v>
      </c>
      <c r="B337" s="22" t="s">
        <v>894</v>
      </c>
      <c r="C337" s="4" t="str">
        <f>IFERROR(__xludf.DUMMYFUNCTION("GOOGLETRANSLATE(B337,""en"",""hi"")"),"नहीं")</f>
        <v>नहीं</v>
      </c>
      <c r="D337" s="4" t="str">
        <f>IFERROR(__xludf.DUMMYFUNCTION("GOOGLETRANSLATE(B337,""en"",""ar"")"),"لا")</f>
        <v>لا</v>
      </c>
      <c r="E337" s="4" t="str">
        <f>IFERROR(__xludf.DUMMYFUNCTION("GOOGLETRANSLATE(B337,""en"",""fr"")"),"Non")</f>
        <v>Non</v>
      </c>
      <c r="F337" s="4" t="str">
        <f>IFERROR(__xludf.DUMMYFUNCTION("GOOGLETRANSLATE(B337,""en"",""tr"")"),"HAYIR")</f>
        <v>HAYIR</v>
      </c>
      <c r="G337" s="4" t="str">
        <f>IFERROR(__xludf.DUMMYFUNCTION("GOOGLETRANSLATE(B337,""en"",""ru"")"),"Нет")</f>
        <v>Нет</v>
      </c>
      <c r="H337" s="4" t="str">
        <f>IFERROR(__xludf.DUMMYFUNCTION("GOOGLETRANSLATE(B337,""en"",""it"")"),"NO")</f>
        <v>NO</v>
      </c>
      <c r="I337" s="4" t="str">
        <f>IFERROR(__xludf.DUMMYFUNCTION("GOOGLETRANSLATE(B337,""en"",""de"")"),"NEIN")</f>
        <v>NEIN</v>
      </c>
      <c r="J337" s="4" t="str">
        <f>IFERROR(__xludf.DUMMYFUNCTION("GOOGLETRANSLATE(B337,""en"",""ko"")"),"아니요")</f>
        <v>아니요</v>
      </c>
      <c r="K337" s="4" t="str">
        <f>IFERROR(__xludf.DUMMYFUNCTION("GOOGLETRANSLATE(B337,""en"",""zh"")"),"不")</f>
        <v>不</v>
      </c>
      <c r="L337" s="4" t="str">
        <f>IFERROR(__xludf.DUMMYFUNCTION("GOOGLETRANSLATE(B337,""en"",""es"")"),"No")</f>
        <v>No</v>
      </c>
      <c r="M337" s="4" t="str">
        <f>IFERROR(__xludf.DUMMYFUNCTION("GOOGLETRANSLATE(B337,""en"",""iw"")"),"לֹא")</f>
        <v>לֹא</v>
      </c>
      <c r="N337" s="4" t="str">
        <f>IFERROR(__xludf.DUMMYFUNCTION("GOOGLETRANSLATE(B337,""en"",""bn"")"),"না")</f>
        <v>না</v>
      </c>
      <c r="O337" s="4" t="str">
        <f>IFERROR(__xludf.DUMMYFUNCTION("GOOGLETRANSLATE(B337,""en"",""pt"")"),"Não")</f>
        <v>Não</v>
      </c>
    </row>
    <row r="338">
      <c r="A338" s="21" t="s">
        <v>895</v>
      </c>
      <c r="B338" s="22" t="s">
        <v>896</v>
      </c>
      <c r="C338" s="4" t="str">
        <f>IFERROR(__xludf.DUMMYFUNCTION("GOOGLETRANSLATE(B338,""en"",""hi"")"),"आपके मालिक के वॉलेट का बैलेंस कम है, कृपया अपने मालिक से संपर्क करें")</f>
        <v>आपके मालिक के वॉलेट का बैलेंस कम है, कृपया अपने मालिक से संपर्क करें</v>
      </c>
      <c r="D338" s="4" t="str">
        <f>IFERROR(__xludf.DUMMYFUNCTION("GOOGLETRANSLATE(B338,""en"",""ar"")"),"رصيد محفظتك المالكة منخفض، يرجى الاتصال بالمالك")</f>
        <v>رصيد محفظتك المالكة منخفض، يرجى الاتصال بالمالك</v>
      </c>
      <c r="E338" s="4" t="str">
        <f>IFERROR(__xludf.DUMMYFUNCTION("GOOGLETRANSLATE(B338,""en"",""fr"")"),"Le solde de votre portefeuille propriétaire est faible, veuillez contacter votre propriétaire")</f>
        <v>Le solde de votre portefeuille propriétaire est faible, veuillez contacter votre propriétaire</v>
      </c>
      <c r="F338" s="4" t="str">
        <f>IFERROR(__xludf.DUMMYFUNCTION("GOOGLETRANSLATE(B338,""en"",""tr"")"),"Sahip cüzdanınızın bakiyesi düşük, lütfen sahibinizle iletişime geçin")</f>
        <v>Sahip cüzdanınızın bakiyesi düşük, lütfen sahibinizle iletişime geçin</v>
      </c>
      <c r="G338" s="4" t="str">
        <f>IFERROR(__xludf.DUMMYFUNCTION("GOOGLETRANSLATE(B338,""en"",""ru"")"),"Баланс вашего кошелька низкий. Обратитесь к владельцу.")</f>
        <v>Баланс вашего кошелька низкий. Обратитесь к владельцу.</v>
      </c>
      <c r="H338" s="4" t="str">
        <f>IFERROR(__xludf.DUMMYFUNCTION("GOOGLETRANSLATE(B338,""en"",""it"")"),"Il saldo del tuo portafoglio proprietario è basso, contatta il proprietario")</f>
        <v>Il saldo del tuo portafoglio proprietario è basso, contatta il proprietario</v>
      </c>
      <c r="I338" s="4" t="str">
        <f>IFERROR(__xludf.DUMMYFUNCTION("GOOGLETRANSLATE(B338,""en"",""de"")"),"Das Guthaben in Ihrer Eigentümer-Wallet ist niedrig. Bitte wenden Sie sich an Ihren Eigentümer")</f>
        <v>Das Guthaben in Ihrer Eigentümer-Wallet ist niedrig. Bitte wenden Sie sich an Ihren Eigentümer</v>
      </c>
      <c r="J338" s="4" t="str">
        <f>IFERROR(__xludf.DUMMYFUNCTION("GOOGLETRANSLATE(B338,""en"",""ko"")"),"소유자 지갑 잔액이 부족합니다. 소유자에게 문의하세요.")</f>
        <v>소유자 지갑 잔액이 부족합니다. 소유자에게 문의하세요.</v>
      </c>
      <c r="K338" s="4" t="str">
        <f>IFERROR(__xludf.DUMMYFUNCTION("GOOGLETRANSLATE(B338,""en"",""zh"")"),"您的所有者钱包余额不足，请联系您的所有者")</f>
        <v>您的所有者钱包余额不足，请联系您的所有者</v>
      </c>
      <c r="L338" s="4" t="str">
        <f>IFERROR(__xludf.DUMMYFUNCTION("GOOGLETRANSLATE(B338,""en"",""es"")"),"El saldo de su billetera de propietario es bajo, comuníquese con su propietario")</f>
        <v>El saldo de su billetera de propietario es bajo, comuníquese con su propietario</v>
      </c>
      <c r="M338" s="4" t="str">
        <f>IFERROR(__xludf.DUMMYFUNCTION("GOOGLETRANSLATE(B338,""en"",""iw"")"),"יתרת ארנק הבעלים שלך נמוכה, אנא צור קשר עם הבעלים שלך")</f>
        <v>יתרת ארנק הבעלים שלך נמוכה, אנא צור קשר עם הבעלים שלך</v>
      </c>
      <c r="N338" s="4" t="str">
        <f>IFERROR(__xludf.DUMMYFUNCTION("GOOGLETRANSLATE(B338,""en"",""bn"")"),"আপনার মালিকের ওয়ালেট ব্যালেন্স কম, অনুগ্রহ করে আপনার মালিকের সাথে যোগাযোগ করুন")</f>
        <v>আপনার মালিকের ওয়ালেট ব্যালেন্স কম, অনুগ্রহ করে আপনার মালিকের সাথে যোগাযোগ করুন</v>
      </c>
      <c r="O338" s="4" t="str">
        <f>IFERROR(__xludf.DUMMYFUNCTION("GOOGLETRANSLATE(B338,""en"",""pt"")"),"O saldo da sua carteira de proprietário está baixo, entre em contato com ele")</f>
        <v>O saldo da sua carteira de proprietário está baixo, entre em contato com ele</v>
      </c>
    </row>
    <row r="339">
      <c r="A339" s="21" t="s">
        <v>897</v>
      </c>
      <c r="B339" s="22" t="s">
        <v>898</v>
      </c>
      <c r="C339" s="4" t="str">
        <f>IFERROR(__xludf.DUMMYFUNCTION("GOOGLETRANSLATE(B339,""en"",""hi"")"),"वाहन जोड़ें")</f>
        <v>वाहन जोड़ें</v>
      </c>
      <c r="D339" s="4" t="str">
        <f>IFERROR(__xludf.DUMMYFUNCTION("GOOGLETRANSLATE(B339,""en"",""ar"")"),"إضافة مركبة")</f>
        <v>إضافة مركبة</v>
      </c>
      <c r="E339" s="4" t="str">
        <f>IFERROR(__xludf.DUMMYFUNCTION("GOOGLETRANSLATE(B339,""en"",""fr"")"),"Ajouter un véhicule")</f>
        <v>Ajouter un véhicule</v>
      </c>
      <c r="F339" s="4" t="str">
        <f>IFERROR(__xludf.DUMMYFUNCTION("GOOGLETRANSLATE(B339,""en"",""tr"")"),"Araç Ekle")</f>
        <v>Araç Ekle</v>
      </c>
      <c r="G339" s="4" t="str">
        <f>IFERROR(__xludf.DUMMYFUNCTION("GOOGLETRANSLATE(B339,""en"",""ru"")"),"Добавить автомобиль")</f>
        <v>Добавить автомобиль</v>
      </c>
      <c r="H339" s="4" t="str">
        <f>IFERROR(__xludf.DUMMYFUNCTION("GOOGLETRANSLATE(B339,""en"",""it"")"),"Aggiungi veicolo")</f>
        <v>Aggiungi veicolo</v>
      </c>
      <c r="I339" s="4" t="str">
        <f>IFERROR(__xludf.DUMMYFUNCTION("GOOGLETRANSLATE(B339,""en"",""de"")"),"Fahrzeug hinzufügen")</f>
        <v>Fahrzeug hinzufügen</v>
      </c>
      <c r="J339" s="4" t="str">
        <f>IFERROR(__xludf.DUMMYFUNCTION("GOOGLETRANSLATE(B339,""en"",""ko"")"),"차량 추가")</f>
        <v>차량 추가</v>
      </c>
      <c r="K339" s="4" t="str">
        <f>IFERROR(__xludf.DUMMYFUNCTION("GOOGLETRANSLATE(B339,""en"",""zh"")"),"添加车辆")</f>
        <v>添加车辆</v>
      </c>
      <c r="L339" s="4" t="str">
        <f>IFERROR(__xludf.DUMMYFUNCTION("GOOGLETRANSLATE(B339,""en"",""es"")"),"Agregar vehículo")</f>
        <v>Agregar vehículo</v>
      </c>
      <c r="M339" s="4" t="str">
        <f>IFERROR(__xludf.DUMMYFUNCTION("GOOGLETRANSLATE(B339,""en"",""iw"")"),"הוסף רכב")</f>
        <v>הוסף רכב</v>
      </c>
      <c r="N339" s="4" t="str">
        <f>IFERROR(__xludf.DUMMYFUNCTION("GOOGLETRANSLATE(B339,""en"",""bn"")"),"যানবাহন যোগ করুন")</f>
        <v>যানবাহন যোগ করুন</v>
      </c>
      <c r="O339" s="4" t="str">
        <f>IFERROR(__xludf.DUMMYFUNCTION("GOOGLETRANSLATE(B339,""en"",""pt"")"),"Adicionar veículo")</f>
        <v>Adicionar veículo</v>
      </c>
    </row>
    <row r="340">
      <c r="A340" s="21" t="s">
        <v>899</v>
      </c>
      <c r="B340" s="22" t="s">
        <v>900</v>
      </c>
      <c r="C340" s="4" t="str">
        <f>IFERROR(__xludf.DUMMYFUNCTION("GOOGLETRANSLATE(B340,""en"",""hi"")"),"पता")</f>
        <v>पता</v>
      </c>
      <c r="D340" s="4" t="str">
        <f>IFERROR(__xludf.DUMMYFUNCTION("GOOGLETRANSLATE(B340,""en"",""ar"")"),"عنوان")</f>
        <v>عنوان</v>
      </c>
      <c r="E340" s="4" t="str">
        <f>IFERROR(__xludf.DUMMYFUNCTION("GOOGLETRANSLATE(B340,""en"",""fr"")"),"Adresse")</f>
        <v>Adresse</v>
      </c>
      <c r="F340" s="4" t="str">
        <f>IFERROR(__xludf.DUMMYFUNCTION("GOOGLETRANSLATE(B340,""en"",""tr"")"),"Adres")</f>
        <v>Adres</v>
      </c>
      <c r="G340" s="4" t="str">
        <f>IFERROR(__xludf.DUMMYFUNCTION("GOOGLETRANSLATE(B340,""en"",""ru"")"),"Адрес")</f>
        <v>Адрес</v>
      </c>
      <c r="H340" s="4" t="str">
        <f>IFERROR(__xludf.DUMMYFUNCTION("GOOGLETRANSLATE(B340,""en"",""it"")"),"Indirizzo")</f>
        <v>Indirizzo</v>
      </c>
      <c r="I340" s="4" t="str">
        <f>IFERROR(__xludf.DUMMYFUNCTION("GOOGLETRANSLATE(B340,""en"",""de"")"),"Adresse")</f>
        <v>Adresse</v>
      </c>
      <c r="J340" s="4" t="str">
        <f>IFERROR(__xludf.DUMMYFUNCTION("GOOGLETRANSLATE(B340,""en"",""ko"")"),"주소")</f>
        <v>주소</v>
      </c>
      <c r="K340" s="4" t="str">
        <f>IFERROR(__xludf.DUMMYFUNCTION("GOOGLETRANSLATE(B340,""en"",""zh"")"),"地址")</f>
        <v>地址</v>
      </c>
      <c r="L340" s="4" t="str">
        <f>IFERROR(__xludf.DUMMYFUNCTION("GOOGLETRANSLATE(B340,""en"",""es"")"),"DIRECCIÓN")</f>
        <v>DIRECCIÓN</v>
      </c>
      <c r="M340" s="4" t="str">
        <f>IFERROR(__xludf.DUMMYFUNCTION("GOOGLETRANSLATE(B340,""en"",""iw"")"),"כְּתוֹבֶת")</f>
        <v>כְּתוֹבֶת</v>
      </c>
      <c r="N340" s="4" t="str">
        <f>IFERROR(__xludf.DUMMYFUNCTION("GOOGLETRANSLATE(B340,""en"",""bn"")"),"ঠিকানা")</f>
        <v>ঠিকানা</v>
      </c>
      <c r="O340" s="4" t="str">
        <f>IFERROR(__xludf.DUMMYFUNCTION("GOOGLETRANSLATE(B340,""en"",""pt"")"),"Endereço")</f>
        <v>Endereço</v>
      </c>
    </row>
    <row r="341">
      <c r="A341" s="15" t="s">
        <v>901</v>
      </c>
      <c r="B341" s="22" t="s">
        <v>902</v>
      </c>
      <c r="C341" s="4" t="str">
        <f>IFERROR(__xludf.DUMMYFUNCTION("GOOGLETRANSLATE(B341,""en"",""hi"")"),"ड्राइवर जोड़ें")</f>
        <v>ड्राइवर जोड़ें</v>
      </c>
      <c r="D341" s="4" t="str">
        <f>IFERROR(__xludf.DUMMYFUNCTION("GOOGLETRANSLATE(B341,""en"",""ar"")"),"إضافة سائق")</f>
        <v>إضافة سائق</v>
      </c>
      <c r="E341" s="4" t="str">
        <f>IFERROR(__xludf.DUMMYFUNCTION("GOOGLETRANSLATE(B341,""en"",""fr"")"),"Ajouter un pilote")</f>
        <v>Ajouter un pilote</v>
      </c>
      <c r="F341" s="4" t="str">
        <f>IFERROR(__xludf.DUMMYFUNCTION("GOOGLETRANSLATE(B341,""en"",""tr"")"),"Sürücü Ekle")</f>
        <v>Sürücü Ekle</v>
      </c>
      <c r="G341" s="4" t="str">
        <f>IFERROR(__xludf.DUMMYFUNCTION("GOOGLETRANSLATE(B341,""en"",""ru"")"),"Добавить водителя")</f>
        <v>Добавить водителя</v>
      </c>
      <c r="H341" s="4" t="str">
        <f>IFERROR(__xludf.DUMMYFUNCTION("GOOGLETRANSLATE(B341,""en"",""it"")"),"Aggiungi driver")</f>
        <v>Aggiungi driver</v>
      </c>
      <c r="I341" s="4" t="str">
        <f>IFERROR(__xludf.DUMMYFUNCTION("GOOGLETRANSLATE(B341,""en"",""de"")"),"Treiber hinzufügen")</f>
        <v>Treiber hinzufügen</v>
      </c>
      <c r="J341" s="4" t="str">
        <f>IFERROR(__xludf.DUMMYFUNCTION("GOOGLETRANSLATE(B341,""en"",""ko"")"),"드라이버 추가")</f>
        <v>드라이버 추가</v>
      </c>
      <c r="K341" s="4" t="str">
        <f>IFERROR(__xludf.DUMMYFUNCTION("GOOGLETRANSLATE(B341,""en"",""zh"")"),"添加驱动程序")</f>
        <v>添加驱动程序</v>
      </c>
      <c r="L341" s="4" t="str">
        <f>IFERROR(__xludf.DUMMYFUNCTION("GOOGLETRANSLATE(B341,""en"",""es"")"),"Agregar controlador")</f>
        <v>Agregar controlador</v>
      </c>
      <c r="M341" s="4" t="str">
        <f>IFERROR(__xludf.DUMMYFUNCTION("GOOGLETRANSLATE(B341,""en"",""iw"")"),"הוסף דרייבר")</f>
        <v>הוסף דרייבר</v>
      </c>
      <c r="N341" s="4" t="str">
        <f>IFERROR(__xludf.DUMMYFUNCTION("GOOGLETRANSLATE(B341,""en"",""bn"")"),"ড্রাইভার যোগ করুন")</f>
        <v>ড্রাইভার যোগ করুন</v>
      </c>
      <c r="O341" s="4" t="str">
        <f>IFERROR(__xludf.DUMMYFUNCTION("GOOGLETRANSLATE(B341,""en"",""pt"")"),"Adicionar driver")</f>
        <v>Adicionar driver</v>
      </c>
    </row>
    <row r="342">
      <c r="A342" s="21" t="s">
        <v>903</v>
      </c>
      <c r="B342" s="22" t="s">
        <v>904</v>
      </c>
      <c r="C342" s="4" t="str">
        <f>IFERROR(__xludf.DUMMYFUNCTION("GOOGLETRANSLATE(B342,""en"",""hi"")"),"क्षेत्र चुनें")</f>
        <v>क्षेत्र चुनें</v>
      </c>
      <c r="D342" s="4" t="str">
        <f>IFERROR(__xludf.DUMMYFUNCTION("GOOGLETRANSLATE(B342,""en"",""ar"")"),"اختر المنطقة")</f>
        <v>اختر المنطقة</v>
      </c>
      <c r="E342" s="4" t="str">
        <f>IFERROR(__xludf.DUMMYFUNCTION("GOOGLETRANSLATE(B342,""en"",""fr"")"),"Choisissez la zone")</f>
        <v>Choisissez la zone</v>
      </c>
      <c r="F342" s="4" t="str">
        <f>IFERROR(__xludf.DUMMYFUNCTION("GOOGLETRANSLATE(B342,""en"",""tr"")"),"Alan Seçin")</f>
        <v>Alan Seçin</v>
      </c>
      <c r="G342" s="4" t="str">
        <f>IFERROR(__xludf.DUMMYFUNCTION("GOOGLETRANSLATE(B342,""en"",""ru"")"),"Выберите область")</f>
        <v>Выберите область</v>
      </c>
      <c r="H342" s="4" t="str">
        <f>IFERROR(__xludf.DUMMYFUNCTION("GOOGLETRANSLATE(B342,""en"",""it"")"),"Scegli l'area")</f>
        <v>Scegli l'area</v>
      </c>
      <c r="I342" s="4" t="str">
        <f>IFERROR(__xludf.DUMMYFUNCTION("GOOGLETRANSLATE(B342,""en"",""de"")"),"Bereich auswählen")</f>
        <v>Bereich auswählen</v>
      </c>
      <c r="J342" s="4" t="str">
        <f>IFERROR(__xludf.DUMMYFUNCTION("GOOGLETRANSLATE(B342,""en"",""ko"")"),"지역 선택")</f>
        <v>지역 선택</v>
      </c>
      <c r="K342" s="4" t="str">
        <f>IFERROR(__xludf.DUMMYFUNCTION("GOOGLETRANSLATE(B342,""en"",""zh"")"),"选择区域")</f>
        <v>选择区域</v>
      </c>
      <c r="L342" s="4" t="str">
        <f>IFERROR(__xludf.DUMMYFUNCTION("GOOGLETRANSLATE(B342,""en"",""es"")"),"Elija Área")</f>
        <v>Elija Área</v>
      </c>
      <c r="M342" s="4" t="str">
        <f>IFERROR(__xludf.DUMMYFUNCTION("GOOGLETRANSLATE(B342,""en"",""iw"")"),"בחר אזור")</f>
        <v>בחר אזור</v>
      </c>
      <c r="N342" s="4" t="str">
        <f>IFERROR(__xludf.DUMMYFUNCTION("GOOGLETRANSLATE(B342,""en"",""bn"")"),"এলাকা নির্বাচন করুন")</f>
        <v>এলাকা নির্বাচন করুন</v>
      </c>
      <c r="O342" s="4" t="str">
        <f>IFERROR(__xludf.DUMMYFUNCTION("GOOGLETRANSLATE(B342,""en"",""pt"")"),"Escolha a área")</f>
        <v>Escolha a área</v>
      </c>
    </row>
    <row r="343">
      <c r="A343" s="21" t="s">
        <v>905</v>
      </c>
      <c r="B343" s="22" t="s">
        <v>906</v>
      </c>
      <c r="C343" s="4" t="str">
        <f>IFERROR(__xludf.DUMMYFUNCTION("GOOGLETRANSLATE(B343,""en"",""hi"")"),"कंपनी का नाम")</f>
        <v>कंपनी का नाम</v>
      </c>
      <c r="D343" s="4" t="str">
        <f>IFERROR(__xludf.DUMMYFUNCTION("GOOGLETRANSLATE(B343,""en"",""ar"")"),"اسم الشركة")</f>
        <v>اسم الشركة</v>
      </c>
      <c r="E343" s="4" t="str">
        <f>IFERROR(__xludf.DUMMYFUNCTION("GOOGLETRANSLATE(B343,""en"",""fr"")"),"Nom de l'entreprise")</f>
        <v>Nom de l'entreprise</v>
      </c>
      <c r="F343" s="4" t="str">
        <f>IFERROR(__xludf.DUMMYFUNCTION("GOOGLETRANSLATE(B343,""en"",""tr"")"),"Firma Adı")</f>
        <v>Firma Adı</v>
      </c>
      <c r="G343" s="4" t="str">
        <f>IFERROR(__xludf.DUMMYFUNCTION("GOOGLETRANSLATE(B343,""en"",""ru"")"),"Название компании")</f>
        <v>Название компании</v>
      </c>
      <c r="H343" s="4" t="str">
        <f>IFERROR(__xludf.DUMMYFUNCTION("GOOGLETRANSLATE(B343,""en"",""it"")"),"Nome dell'azienda")</f>
        <v>Nome dell'azienda</v>
      </c>
      <c r="I343" s="4" t="str">
        <f>IFERROR(__xludf.DUMMYFUNCTION("GOOGLETRANSLATE(B343,""en"",""de"")"),"Name der Firma")</f>
        <v>Name der Firma</v>
      </c>
      <c r="J343" s="4" t="str">
        <f>IFERROR(__xludf.DUMMYFUNCTION("GOOGLETRANSLATE(B343,""en"",""ko"")"),"회사 이름")</f>
        <v>회사 이름</v>
      </c>
      <c r="K343" s="4" t="str">
        <f>IFERROR(__xludf.DUMMYFUNCTION("GOOGLETRANSLATE(B343,""en"",""zh"")"),"公司名称")</f>
        <v>公司名称</v>
      </c>
      <c r="L343" s="4" t="str">
        <f>IFERROR(__xludf.DUMMYFUNCTION("GOOGLETRANSLATE(B343,""en"",""es"")"),"nombre de empresa")</f>
        <v>nombre de empresa</v>
      </c>
      <c r="M343" s="4" t="str">
        <f>IFERROR(__xludf.DUMMYFUNCTION("GOOGLETRANSLATE(B343,""en"",""iw"")"),"שם החברה")</f>
        <v>שם החברה</v>
      </c>
      <c r="N343" s="4" t="str">
        <f>IFERROR(__xludf.DUMMYFUNCTION("GOOGLETRANSLATE(B343,""en"",""bn"")"),"কোম্পানির নাম")</f>
        <v>কোম্পানির নাম</v>
      </c>
      <c r="O343" s="4" t="str">
        <f>IFERROR(__xludf.DUMMYFUNCTION("GOOGLETRANSLATE(B343,""en"",""pt"")"),"nome da empresa")</f>
        <v>nome da empresa</v>
      </c>
    </row>
    <row r="344">
      <c r="A344" s="21" t="s">
        <v>907</v>
      </c>
      <c r="B344" s="22" t="s">
        <v>908</v>
      </c>
      <c r="C344" s="4" t="str">
        <f>IFERROR(__xludf.DUMMYFUNCTION("GOOGLETRANSLATE(B344,""en"",""hi"")"),"शहर")</f>
        <v>शहर</v>
      </c>
      <c r="D344" s="4" t="str">
        <f>IFERROR(__xludf.DUMMYFUNCTION("GOOGLETRANSLATE(B344,""en"",""ar"")"),"مدينة")</f>
        <v>مدينة</v>
      </c>
      <c r="E344" s="4" t="str">
        <f>IFERROR(__xludf.DUMMYFUNCTION("GOOGLETRANSLATE(B344,""en"",""fr"")"),"Ville")</f>
        <v>Ville</v>
      </c>
      <c r="F344" s="4" t="str">
        <f>IFERROR(__xludf.DUMMYFUNCTION("GOOGLETRANSLATE(B344,""en"",""tr"")"),"Şehir")</f>
        <v>Şehir</v>
      </c>
      <c r="G344" s="4" t="str">
        <f>IFERROR(__xludf.DUMMYFUNCTION("GOOGLETRANSLATE(B344,""en"",""ru"")"),"Город")</f>
        <v>Город</v>
      </c>
      <c r="H344" s="4" t="str">
        <f>IFERROR(__xludf.DUMMYFUNCTION("GOOGLETRANSLATE(B344,""en"",""it"")"),"Città")</f>
        <v>Città</v>
      </c>
      <c r="I344" s="4" t="str">
        <f>IFERROR(__xludf.DUMMYFUNCTION("GOOGLETRANSLATE(B344,""en"",""de"")"),"Stadt")</f>
        <v>Stadt</v>
      </c>
      <c r="J344" s="4" t="str">
        <f>IFERROR(__xludf.DUMMYFUNCTION("GOOGLETRANSLATE(B344,""en"",""ko"")"),"도시")</f>
        <v>도시</v>
      </c>
      <c r="K344" s="4" t="str">
        <f>IFERROR(__xludf.DUMMYFUNCTION("GOOGLETRANSLATE(B344,""en"",""zh"")"),"城市")</f>
        <v>城市</v>
      </c>
      <c r="L344" s="4" t="str">
        <f>IFERROR(__xludf.DUMMYFUNCTION("GOOGLETRANSLATE(B344,""en"",""es"")"),"Ciudad")</f>
        <v>Ciudad</v>
      </c>
      <c r="M344" s="4" t="str">
        <f>IFERROR(__xludf.DUMMYFUNCTION("GOOGLETRANSLATE(B344,""en"",""iw"")"),"עִיר")</f>
        <v>עִיר</v>
      </c>
      <c r="N344" s="4" t="str">
        <f>IFERROR(__xludf.DUMMYFUNCTION("GOOGLETRANSLATE(B344,""en"",""bn"")"),"শহর")</f>
        <v>শহর</v>
      </c>
      <c r="O344" s="4" t="str">
        <f>IFERROR(__xludf.DUMMYFUNCTION("GOOGLETRANSLATE(B344,""en"",""pt"")"),"Cidade")</f>
        <v>Cidade</v>
      </c>
    </row>
    <row r="345">
      <c r="A345" s="21" t="s">
        <v>909</v>
      </c>
      <c r="B345" s="22" t="s">
        <v>910</v>
      </c>
      <c r="C345" s="4" t="str">
        <f>IFERROR(__xludf.DUMMYFUNCTION("GOOGLETRANSLATE(B345,""en"",""hi"")"),"डाक कोड")</f>
        <v>डाक कोड</v>
      </c>
      <c r="D345" s="4" t="str">
        <f>IFERROR(__xludf.DUMMYFUNCTION("GOOGLETRANSLATE(B345,""en"",""ar"")"),"رمز بريدي")</f>
        <v>رمز بريدي</v>
      </c>
      <c r="E345" s="4" t="str">
        <f>IFERROR(__xludf.DUMMYFUNCTION("GOOGLETRANSLATE(B345,""en"",""fr"")"),"Code Postal")</f>
        <v>Code Postal</v>
      </c>
      <c r="F345" s="4" t="str">
        <f>IFERROR(__xludf.DUMMYFUNCTION("GOOGLETRANSLATE(B345,""en"",""tr"")"),"Posta Kodu")</f>
        <v>Posta Kodu</v>
      </c>
      <c r="G345" s="4" t="str">
        <f>IFERROR(__xludf.DUMMYFUNCTION("GOOGLETRANSLATE(B345,""en"",""ru"")"),"Почтовый индекс")</f>
        <v>Почтовый индекс</v>
      </c>
      <c r="H345" s="4" t="str">
        <f>IFERROR(__xludf.DUMMYFUNCTION("GOOGLETRANSLATE(B345,""en"",""it"")"),"Codice Postale")</f>
        <v>Codice Postale</v>
      </c>
      <c r="I345" s="4" t="str">
        <f>IFERROR(__xludf.DUMMYFUNCTION("GOOGLETRANSLATE(B345,""en"",""de"")"),"Postleitzahl")</f>
        <v>Postleitzahl</v>
      </c>
      <c r="J345" s="4" t="str">
        <f>IFERROR(__xludf.DUMMYFUNCTION("GOOGLETRANSLATE(B345,""en"",""ko"")"),"우편번호")</f>
        <v>우편번호</v>
      </c>
      <c r="K345" s="4" t="str">
        <f>IFERROR(__xludf.DUMMYFUNCTION("GOOGLETRANSLATE(B345,""en"",""zh"")"),"邮政编码")</f>
        <v>邮政编码</v>
      </c>
      <c r="L345" s="4" t="str">
        <f>IFERROR(__xludf.DUMMYFUNCTION("GOOGLETRANSLATE(B345,""en"",""es"")"),"Código Postal")</f>
        <v>Código Postal</v>
      </c>
      <c r="M345" s="4" t="str">
        <f>IFERROR(__xludf.DUMMYFUNCTION("GOOGLETRANSLATE(B345,""en"",""iw"")"),"מיקוד")</f>
        <v>מיקוד</v>
      </c>
      <c r="N345" s="4" t="str">
        <f>IFERROR(__xludf.DUMMYFUNCTION("GOOGLETRANSLATE(B345,""en"",""bn"")"),"পোস্টাল কোড")</f>
        <v>পোস্টাল কোড</v>
      </c>
      <c r="O345" s="4" t="str">
        <f>IFERROR(__xludf.DUMMYFUNCTION("GOOGLETRANSLATE(B345,""en"",""pt"")"),"Código postal")</f>
        <v>Código postal</v>
      </c>
    </row>
    <row r="346">
      <c r="A346" s="21" t="s">
        <v>911</v>
      </c>
      <c r="B346" s="22" t="s">
        <v>912</v>
      </c>
      <c r="C346" s="4" t="str">
        <f>IFERROR(__xludf.DUMMYFUNCTION("GOOGLETRANSLATE(B346,""en"",""hi"")"),"कर नंबर")</f>
        <v>कर नंबर</v>
      </c>
      <c r="D346" s="4" t="str">
        <f>IFERROR(__xludf.DUMMYFUNCTION("GOOGLETRANSLATE(B346,""en"",""ar"")"),"الرقم الضريبي")</f>
        <v>الرقم الضريبي</v>
      </c>
      <c r="E346" s="4" t="str">
        <f>IFERROR(__xludf.DUMMYFUNCTION("GOOGLETRANSLATE(B346,""en"",""fr"")"),"Numéro d'identification fiscale")</f>
        <v>Numéro d'identification fiscale</v>
      </c>
      <c r="F346" s="4" t="str">
        <f>IFERROR(__xludf.DUMMYFUNCTION("GOOGLETRANSLATE(B346,""en"",""tr"")"),"Vergi Numarası")</f>
        <v>Vergi Numarası</v>
      </c>
      <c r="G346" s="4" t="str">
        <f>IFERROR(__xludf.DUMMYFUNCTION("GOOGLETRANSLATE(B346,""en"",""ru"")"),"Налоговый номер")</f>
        <v>Налоговый номер</v>
      </c>
      <c r="H346" s="4" t="str">
        <f>IFERROR(__xludf.DUMMYFUNCTION("GOOGLETRANSLATE(B346,""en"",""it"")"),"Codice fiscale")</f>
        <v>Codice fiscale</v>
      </c>
      <c r="I346" s="4" t="str">
        <f>IFERROR(__xludf.DUMMYFUNCTION("GOOGLETRANSLATE(B346,""en"",""de"")"),"Steuernummer")</f>
        <v>Steuernummer</v>
      </c>
      <c r="J346" s="4" t="str">
        <f>IFERROR(__xludf.DUMMYFUNCTION("GOOGLETRANSLATE(B346,""en"",""ko"")"),"세금 번호")</f>
        <v>세금 번호</v>
      </c>
      <c r="K346" s="4" t="str">
        <f>IFERROR(__xludf.DUMMYFUNCTION("GOOGLETRANSLATE(B346,""en"",""zh"")"),"税号")</f>
        <v>税号</v>
      </c>
      <c r="L346" s="4" t="str">
        <f>IFERROR(__xludf.DUMMYFUNCTION("GOOGLETRANSLATE(B346,""en"",""es"")"),"Número de identificación fiscal")</f>
        <v>Número de identificación fiscal</v>
      </c>
      <c r="M346" s="4" t="str">
        <f>IFERROR(__xludf.DUMMYFUNCTION("GOOGLETRANSLATE(B346,""en"",""iw"")"),"מספר מס")</f>
        <v>מספר מס</v>
      </c>
      <c r="N346" s="4" t="str">
        <f>IFERROR(__xludf.DUMMYFUNCTION("GOOGLETRANSLATE(B346,""en"",""bn"")"),"ট্যাক্স নম্বর")</f>
        <v>ট্যাক্স নম্বর</v>
      </c>
      <c r="O346" s="4" t="str">
        <f>IFERROR(__xludf.DUMMYFUNCTION("GOOGLETRANSLATE(B346,""en"",""pt"")"),"Número de identificação fiscal")</f>
        <v>Número de identificação fiscal</v>
      </c>
    </row>
    <row r="347">
      <c r="A347" s="21" t="s">
        <v>913</v>
      </c>
      <c r="B347" s="22" t="s">
        <v>914</v>
      </c>
      <c r="C347" s="4" t="str">
        <f>IFERROR(__xludf.DUMMYFUNCTION("GOOGLETRANSLATE(B347,""en"",""hi"")"),"कोई बेड़ा आवंटित नहीं किया गया")</f>
        <v>कोई बेड़ा आवंटित नहीं किया गया</v>
      </c>
      <c r="D347" s="4" t="str">
        <f>IFERROR(__xludf.DUMMYFUNCTION("GOOGLETRANSLATE(B347,""en"",""ar"")"),"لم يتم تعيين أي أسطول")</f>
        <v>لم يتم تعيين أي أسطول</v>
      </c>
      <c r="E347" s="4" t="str">
        <f>IFERROR(__xludf.DUMMYFUNCTION("GOOGLETRANSLATE(B347,""en"",""fr"")"),"Aucune flotte assignée")</f>
        <v>Aucune flotte assignée</v>
      </c>
      <c r="F347" s="4" t="str">
        <f>IFERROR(__xludf.DUMMYFUNCTION("GOOGLETRANSLATE(B347,""en"",""tr"")"),"Filo Atanmadı")</f>
        <v>Filo Atanmadı</v>
      </c>
      <c r="G347" s="4" t="str">
        <f>IFERROR(__xludf.DUMMYFUNCTION("GOOGLETRANSLATE(B347,""en"",""ru"")"),"Флот не назначен")</f>
        <v>Флот не назначен</v>
      </c>
      <c r="H347" s="4" t="str">
        <f>IFERROR(__xludf.DUMMYFUNCTION("GOOGLETRANSLATE(B347,""en"",""it"")"),"Nessuna flotta assegnata")</f>
        <v>Nessuna flotta assegnata</v>
      </c>
      <c r="I347" s="4" t="str">
        <f>IFERROR(__xludf.DUMMYFUNCTION("GOOGLETRANSLATE(B347,""en"",""de"")"),"Keine Flotte zugewiesen")</f>
        <v>Keine Flotte zugewiesen</v>
      </c>
      <c r="J347" s="4" t="str">
        <f>IFERROR(__xludf.DUMMYFUNCTION("GOOGLETRANSLATE(B347,""en"",""ko"")"),"할당된 함대 없음")</f>
        <v>할당된 함대 없음</v>
      </c>
      <c r="K347" s="4" t="str">
        <f>IFERROR(__xludf.DUMMYFUNCTION("GOOGLETRANSLATE(B347,""en"",""zh"")"),"未指定舰队")</f>
        <v>未指定舰队</v>
      </c>
      <c r="L347" s="4" t="str">
        <f>IFERROR(__xludf.DUMMYFUNCTION("GOOGLETRANSLATE(B347,""en"",""es"")"),"No hay flota asignada")</f>
        <v>No hay flota asignada</v>
      </c>
      <c r="M347" s="4" t="str">
        <f>IFERROR(__xludf.DUMMYFUNCTION("GOOGLETRANSLATE(B347,""en"",""iw"")"),"לא הוקצה צי")</f>
        <v>לא הוקצה צי</v>
      </c>
      <c r="N347" s="4" t="str">
        <f>IFERROR(__xludf.DUMMYFUNCTION("GOOGLETRANSLATE(B347,""en"",""bn"")"),"কোনো ফ্লিট অ্যাসাইন করা হয়নি")</f>
        <v>কোনো ফ্লিট অ্যাসাইন করা হয়নি</v>
      </c>
      <c r="O347" s="4" t="str">
        <f>IFERROR(__xludf.DUMMYFUNCTION("GOOGLETRANSLATE(B347,""en"",""pt"")"),"Nenhuma frota atribuída")</f>
        <v>Nenhuma frota atribuída</v>
      </c>
    </row>
    <row r="348">
      <c r="A348" s="21" t="s">
        <v>915</v>
      </c>
      <c r="B348" s="22" t="s">
        <v>916</v>
      </c>
      <c r="C348" s="4" t="str">
        <f>IFERROR(__xludf.DUMMYFUNCTION("GOOGLETRANSLATE(B348,""en"",""hi"")"),"बिना गंतव्य के सवारी")</f>
        <v>बिना गंतव्य के सवारी</v>
      </c>
      <c r="D348" s="4" t="str">
        <f>IFERROR(__xludf.DUMMYFUNCTION("GOOGLETRANSLATE(B348,""en"",""ar"")"),"ركوب بدون وجهة")</f>
        <v>ركوب بدون وجهة</v>
      </c>
      <c r="E348" s="4" t="str">
        <f>IFERROR(__xludf.DUMMYFUNCTION("GOOGLETRANSLATE(B348,""en"",""fr"")"),"Voyage sans destination")</f>
        <v>Voyage sans destination</v>
      </c>
      <c r="F348" s="4" t="str">
        <f>IFERROR(__xludf.DUMMYFUNCTION("GOOGLETRANSLATE(B348,""en"",""tr"")"),"Hedefsiz Yolculuk")</f>
        <v>Hedefsiz Yolculuk</v>
      </c>
      <c r="G348" s="4" t="str">
        <f>IFERROR(__xludf.DUMMYFUNCTION("GOOGLETRANSLATE(B348,""en"",""ru"")"),"Поездка без пункта назначения")</f>
        <v>Поездка без пункта назначения</v>
      </c>
      <c r="H348" s="4" t="str">
        <f>IFERROR(__xludf.DUMMYFUNCTION("GOOGLETRANSLATE(B348,""en"",""it"")"),"Viaggio senza destinazione")</f>
        <v>Viaggio senza destinazione</v>
      </c>
      <c r="I348" s="4" t="str">
        <f>IFERROR(__xludf.DUMMYFUNCTION("GOOGLETRANSLATE(B348,""en"",""de"")"),"Fahrt ohne Ziel")</f>
        <v>Fahrt ohne Ziel</v>
      </c>
      <c r="J348" s="4" t="str">
        <f>IFERROR(__xludf.DUMMYFUNCTION("GOOGLETRANSLATE(B348,""en"",""ko"")"),"목적지 없이 달리다")</f>
        <v>목적지 없이 달리다</v>
      </c>
      <c r="K348" s="4" t="str">
        <f>IFERROR(__xludf.DUMMYFUNCTION("GOOGLETRANSLATE(B348,""en"",""zh"")"),"无目的地骑行")</f>
        <v>无目的地骑行</v>
      </c>
      <c r="L348" s="4" t="str">
        <f>IFERROR(__xludf.DUMMYFUNCTION("GOOGLETRANSLATE(B348,""en"",""es"")"),"Viaje sin destino")</f>
        <v>Viaje sin destino</v>
      </c>
      <c r="M348" s="4" t="str">
        <f>IFERROR(__xludf.DUMMYFUNCTION("GOOGLETRANSLATE(B348,""en"",""iw"")"),"רכיבה ללא יעד")</f>
        <v>רכיבה ללא יעד</v>
      </c>
      <c r="N348" s="4" t="str">
        <f>IFERROR(__xludf.DUMMYFUNCTION("GOOGLETRANSLATE(B348,""en"",""bn"")"),"গন্তব্য ছাড়া রাইড")</f>
        <v>গন্তব্য ছাড়া রাইড</v>
      </c>
      <c r="O348" s="4" t="str">
        <f>IFERROR(__xludf.DUMMYFUNCTION("GOOGLETRANSLATE(B348,""en"",""pt"")"),"Passeio sem destino")</f>
        <v>Passeio sem destino</v>
      </c>
    </row>
    <row r="349">
      <c r="A349" s="21" t="s">
        <v>917</v>
      </c>
      <c r="B349" s="22" t="s">
        <v>918</v>
      </c>
      <c r="C349" s="4" t="str">
        <f>IFERROR(__xludf.DUMMYFUNCTION("GOOGLETRANSLATE(B349,""en"",""hi"")"),"अधिसूचना")</f>
        <v>अधिसूचना</v>
      </c>
      <c r="D349" s="4" t="str">
        <f>IFERROR(__xludf.DUMMYFUNCTION("GOOGLETRANSLATE(B349,""en"",""ar"")"),"إشعار")</f>
        <v>إشعار</v>
      </c>
      <c r="E349" s="4" t="str">
        <f>IFERROR(__xludf.DUMMYFUNCTION("GOOGLETRANSLATE(B349,""en"",""fr"")"),"Notification")</f>
        <v>Notification</v>
      </c>
      <c r="F349" s="4" t="str">
        <f>IFERROR(__xludf.DUMMYFUNCTION("GOOGLETRANSLATE(B349,""en"",""tr"")"),"Bildiri")</f>
        <v>Bildiri</v>
      </c>
      <c r="G349" s="4" t="str">
        <f>IFERROR(__xludf.DUMMYFUNCTION("GOOGLETRANSLATE(B349,""en"",""ru"")"),"Уведомление")</f>
        <v>Уведомление</v>
      </c>
      <c r="H349" s="4" t="str">
        <f>IFERROR(__xludf.DUMMYFUNCTION("GOOGLETRANSLATE(B349,""en"",""it"")"),"Notifica")</f>
        <v>Notifica</v>
      </c>
      <c r="I349" s="4" t="str">
        <f>IFERROR(__xludf.DUMMYFUNCTION("GOOGLETRANSLATE(B349,""en"",""de"")"),"Benachrichtigung")</f>
        <v>Benachrichtigung</v>
      </c>
      <c r="J349" s="4" t="str">
        <f>IFERROR(__xludf.DUMMYFUNCTION("GOOGLETRANSLATE(B349,""en"",""ko"")"),"공고")</f>
        <v>공고</v>
      </c>
      <c r="K349" s="4" t="str">
        <f>IFERROR(__xludf.DUMMYFUNCTION("GOOGLETRANSLATE(B349,""en"",""zh"")"),"通知")</f>
        <v>通知</v>
      </c>
      <c r="L349" s="4" t="str">
        <f>IFERROR(__xludf.DUMMYFUNCTION("GOOGLETRANSLATE(B349,""en"",""es"")"),"Notificación")</f>
        <v>Notificación</v>
      </c>
      <c r="M349" s="4" t="str">
        <f>IFERROR(__xludf.DUMMYFUNCTION("GOOGLETRANSLATE(B349,""en"",""iw"")"),"הוֹדָעָה")</f>
        <v>הוֹדָעָה</v>
      </c>
      <c r="N349" s="4" t="str">
        <f>IFERROR(__xludf.DUMMYFUNCTION("GOOGLETRANSLATE(B349,""en"",""bn"")"),"বিজ্ঞপ্তি")</f>
        <v>বিজ্ঞপ্তি</v>
      </c>
      <c r="O349" s="4" t="str">
        <f>IFERROR(__xludf.DUMMYFUNCTION("GOOGLETRANSLATE(B349,""en"",""pt"")"),"Notificação")</f>
        <v>Notificação</v>
      </c>
    </row>
    <row r="350">
      <c r="A350" s="21" t="s">
        <v>919</v>
      </c>
      <c r="B350" s="22" t="s">
        <v>920</v>
      </c>
      <c r="C350" s="4" t="str">
        <f>IFERROR(__xludf.DUMMYFUNCTION("GOOGLETRANSLATE(B350,""en"",""hi"")"),"क्या आप वाकई सूचना हटाना चाहते हैं?")</f>
        <v>क्या आप वाकई सूचना हटाना चाहते हैं?</v>
      </c>
      <c r="D350" s="4" t="str">
        <f>IFERROR(__xludf.DUMMYFUNCTION("GOOGLETRANSLATE(B350,""en"",""ar"")"),"هل أنت متأكد من أنك تريد حذف الإشعار؟")</f>
        <v>هل أنت متأكد من أنك تريد حذف الإشعار؟</v>
      </c>
      <c r="E350" s="4" t="str">
        <f>IFERROR(__xludf.DUMMYFUNCTION("GOOGLETRANSLATE(B350,""en"",""fr"")"),"Êtes-vous sûr de vouloir supprimer la notification ?")</f>
        <v>Êtes-vous sûr de vouloir supprimer la notification ?</v>
      </c>
      <c r="F350" s="4" t="str">
        <f>IFERROR(__xludf.DUMMYFUNCTION("GOOGLETRANSLATE(B350,""en"",""tr"")"),"Bildirimi Silmek İstediğinizden Emin misiniz?")</f>
        <v>Bildirimi Silmek İstediğinizden Emin misiniz?</v>
      </c>
      <c r="G350" s="4" t="str">
        <f>IFERROR(__xludf.DUMMYFUNCTION("GOOGLETRANSLATE(B350,""en"",""ru"")"),"Вы уверены, что хотите удалить уведомление?")</f>
        <v>Вы уверены, что хотите удалить уведомление?</v>
      </c>
      <c r="H350" s="4" t="str">
        <f>IFERROR(__xludf.DUMMYFUNCTION("GOOGLETRANSLATE(B350,""en"",""it"")"),"Vuoi davvero eliminare la notifica?")</f>
        <v>Vuoi davvero eliminare la notifica?</v>
      </c>
      <c r="I350" s="4" t="str">
        <f>IFERROR(__xludf.DUMMYFUNCTION("GOOGLETRANSLATE(B350,""en"",""de"")"),"Möchten Sie die Benachrichtigung wirklich löschen?")</f>
        <v>Möchten Sie die Benachrichtigung wirklich löschen?</v>
      </c>
      <c r="J350" s="4" t="str">
        <f>IFERROR(__xludf.DUMMYFUNCTION("GOOGLETRANSLATE(B350,""en"",""ko"")"),"알림을 삭제하시겠습니까?")</f>
        <v>알림을 삭제하시겠습니까?</v>
      </c>
      <c r="K350" s="4" t="str">
        <f>IFERROR(__xludf.DUMMYFUNCTION("GOOGLETRANSLATE(B350,""en"",""zh"")"),"您确定要删除该通知吗")</f>
        <v>您确定要删除该通知吗</v>
      </c>
      <c r="L350" s="4" t="str">
        <f>IFERROR(__xludf.DUMMYFUNCTION("GOOGLETRANSLATE(B350,""en"",""es"")"),"¿Estás seguro de que deseas eliminar la notificación?")</f>
        <v>¿Estás seguro de que deseas eliminar la notificación?</v>
      </c>
      <c r="M350" s="4" t="str">
        <f>IFERROR(__xludf.DUMMYFUNCTION("GOOGLETRANSLATE(B350,""en"",""iw"")"),"האם אתה בטוח רוצה למחוק את ההודעה")</f>
        <v>האם אתה בטוח רוצה למחוק את ההודעה</v>
      </c>
      <c r="N350" s="4" t="str">
        <f>IFERROR(__xludf.DUMMYFUNCTION("GOOGLETRANSLATE(B350,""en"",""bn"")"),"আপনি কি নিশ্চিত যে বিজ্ঞপ্তিটি মুছে ফেলতে চান?")</f>
        <v>আপনি কি নিশ্চিত যে বিজ্ঞপ্তিটি মুছে ফেলতে চান?</v>
      </c>
      <c r="O350" s="4" t="str">
        <f>IFERROR(__xludf.DUMMYFUNCTION("GOOGLETRANSLATE(B350,""en"",""pt"")"),"Tem certeza de que deseja excluir a notificação?")</f>
        <v>Tem certeza de que deseja excluir a notificação?</v>
      </c>
    </row>
    <row r="351">
      <c r="A351" s="21" t="s">
        <v>921</v>
      </c>
      <c r="B351" s="22" t="s">
        <v>922</v>
      </c>
      <c r="C351" s="4" t="str">
        <f>IFERROR(__xludf.DUMMYFUNCTION("GOOGLETRANSLATE(B351,""en"",""hi"")"),"शेयर करना")</f>
        <v>शेयर करना</v>
      </c>
      <c r="D351" s="4" t="str">
        <f>IFERROR(__xludf.DUMMYFUNCTION("GOOGLETRANSLATE(B351,""en"",""ar"")"),"يشارك")</f>
        <v>يشارك</v>
      </c>
      <c r="E351" s="4" t="str">
        <f>IFERROR(__xludf.DUMMYFUNCTION("GOOGLETRANSLATE(B351,""en"",""fr"")"),"Partager")</f>
        <v>Partager</v>
      </c>
      <c r="F351" s="4" t="str">
        <f>IFERROR(__xludf.DUMMYFUNCTION("GOOGLETRANSLATE(B351,""en"",""tr"")"),"Paylaşmak")</f>
        <v>Paylaşmak</v>
      </c>
      <c r="G351" s="4" t="str">
        <f>IFERROR(__xludf.DUMMYFUNCTION("GOOGLETRANSLATE(B351,""en"",""ru"")"),"Делиться")</f>
        <v>Делиться</v>
      </c>
      <c r="H351" s="4" t="str">
        <f>IFERROR(__xludf.DUMMYFUNCTION("GOOGLETRANSLATE(B351,""en"",""it"")"),"Condividere")</f>
        <v>Condividere</v>
      </c>
      <c r="I351" s="4" t="str">
        <f>IFERROR(__xludf.DUMMYFUNCTION("GOOGLETRANSLATE(B351,""en"",""de"")"),"Aktie")</f>
        <v>Aktie</v>
      </c>
      <c r="J351" s="4" t="str">
        <f>IFERROR(__xludf.DUMMYFUNCTION("GOOGLETRANSLATE(B351,""en"",""ko"")"),"공유하다")</f>
        <v>공유하다</v>
      </c>
      <c r="K351" s="4" t="str">
        <f>IFERROR(__xludf.DUMMYFUNCTION("GOOGLETRANSLATE(B351,""en"",""zh"")"),"分享")</f>
        <v>分享</v>
      </c>
      <c r="L351" s="4" t="str">
        <f>IFERROR(__xludf.DUMMYFUNCTION("GOOGLETRANSLATE(B351,""en"",""es"")"),"Compartir")</f>
        <v>Compartir</v>
      </c>
      <c r="M351" s="4" t="str">
        <f>IFERROR(__xludf.DUMMYFUNCTION("GOOGLETRANSLATE(B351,""en"",""iw"")"),"לַחֲלוֹק")</f>
        <v>לַחֲלוֹק</v>
      </c>
      <c r="N351" s="4" t="str">
        <f>IFERROR(__xludf.DUMMYFUNCTION("GOOGLETRANSLATE(B351,""en"",""bn"")"),"শেয়ার করুন")</f>
        <v>শেয়ার করুন</v>
      </c>
      <c r="O351" s="4" t="str">
        <f>IFERROR(__xludf.DUMMYFUNCTION("GOOGLETRANSLATE(B351,""en"",""pt"")"),"Compartilhar")</f>
        <v>Compartilhar</v>
      </c>
    </row>
    <row r="352">
      <c r="A352" s="21" t="s">
        <v>923</v>
      </c>
      <c r="B352" s="22" t="s">
        <v>924</v>
      </c>
      <c r="C352" s="4" t="str">
        <f>IFERROR(__xludf.DUMMYFUNCTION("GOOGLETRANSLATE(B352,""en"",""hi"")"),"पैसा साझा करें")</f>
        <v>पैसा साझा करें</v>
      </c>
      <c r="D352" s="4" t="str">
        <f>IFERROR(__xludf.DUMMYFUNCTION("GOOGLETRANSLATE(B352,""en"",""ar"")"),"مشاركة المال")</f>
        <v>مشاركة المال</v>
      </c>
      <c r="E352" s="4" t="str">
        <f>IFERROR(__xludf.DUMMYFUNCTION("GOOGLETRANSLATE(B352,""en"",""fr"")"),"Partager de l'argent")</f>
        <v>Partager de l'argent</v>
      </c>
      <c r="F352" s="4" t="str">
        <f>IFERROR(__xludf.DUMMYFUNCTION("GOOGLETRANSLATE(B352,""en"",""tr"")"),"Para Paylaşımı")</f>
        <v>Para Paylaşımı</v>
      </c>
      <c r="G352" s="4" t="str">
        <f>IFERROR(__xludf.DUMMYFUNCTION("GOOGLETRANSLATE(B352,""en"",""ru"")"),"Поделиться деньгами")</f>
        <v>Поделиться деньгами</v>
      </c>
      <c r="H352" s="4" t="str">
        <f>IFERROR(__xludf.DUMMYFUNCTION("GOOGLETRANSLATE(B352,""en"",""it"")"),"Condividi denaro")</f>
        <v>Condividi denaro</v>
      </c>
      <c r="I352" s="4" t="str">
        <f>IFERROR(__xludf.DUMMYFUNCTION("GOOGLETRANSLATE(B352,""en"",""de"")"),"Geld teilen")</f>
        <v>Geld teilen</v>
      </c>
      <c r="J352" s="4" t="str">
        <f>IFERROR(__xludf.DUMMYFUNCTION("GOOGLETRANSLATE(B352,""en"",""ko"")"),"돈을 나눠주세요")</f>
        <v>돈을 나눠주세요</v>
      </c>
      <c r="K352" s="4" t="str">
        <f>IFERROR(__xludf.DUMMYFUNCTION("GOOGLETRANSLATE(B352,""en"",""zh"")"),"分享金钱")</f>
        <v>分享金钱</v>
      </c>
      <c r="L352" s="4" t="str">
        <f>IFERROR(__xludf.DUMMYFUNCTION("GOOGLETRANSLATE(B352,""en"",""es"")"),"Compartir dinero")</f>
        <v>Compartir dinero</v>
      </c>
      <c r="M352" s="4" t="str">
        <f>IFERROR(__xludf.DUMMYFUNCTION("GOOGLETRANSLATE(B352,""en"",""iw"")"),"שתף כסף")</f>
        <v>שתף כסף</v>
      </c>
      <c r="N352" s="4" t="str">
        <f>IFERROR(__xludf.DUMMYFUNCTION("GOOGLETRANSLATE(B352,""en"",""bn"")"),"টাকা ভাগ করুন")</f>
        <v>টাকা ভাগ করুন</v>
      </c>
      <c r="O352" s="4" t="str">
        <f>IFERROR(__xludf.DUMMYFUNCTION("GOOGLETRANSLATE(B352,""en"",""pt"")"),"Compartilhe dinheiro")</f>
        <v>Compartilhe dinheiro</v>
      </c>
    </row>
    <row r="353">
      <c r="A353" s="21" t="s">
        <v>925</v>
      </c>
      <c r="B353" s="22" t="s">
        <v>926</v>
      </c>
      <c r="C353" s="4" t="str">
        <f>IFERROR(__xludf.DUMMYFUNCTION("GOOGLETRANSLATE(B353,""en"",""hi"")"),"बंद करना")</f>
        <v>बंद करना</v>
      </c>
      <c r="D353" s="4" t="str">
        <f>IFERROR(__xludf.DUMMYFUNCTION("GOOGLETRANSLATE(B353,""en"",""ar"")"),"يغلق")</f>
        <v>يغلق</v>
      </c>
      <c r="E353" s="4" t="str">
        <f>IFERROR(__xludf.DUMMYFUNCTION("GOOGLETRANSLATE(B353,""en"",""fr"")"),"Fermer")</f>
        <v>Fermer</v>
      </c>
      <c r="F353" s="4" t="str">
        <f>IFERROR(__xludf.DUMMYFUNCTION("GOOGLETRANSLATE(B353,""en"",""tr"")"),"Kapalı")</f>
        <v>Kapalı</v>
      </c>
      <c r="G353" s="4" t="str">
        <f>IFERROR(__xludf.DUMMYFUNCTION("GOOGLETRANSLATE(B353,""en"",""ru"")"),"Закрывать")</f>
        <v>Закрывать</v>
      </c>
      <c r="H353" s="4" t="str">
        <f>IFERROR(__xludf.DUMMYFUNCTION("GOOGLETRANSLATE(B353,""en"",""it"")"),"Vicino")</f>
        <v>Vicino</v>
      </c>
      <c r="I353" s="4" t="str">
        <f>IFERROR(__xludf.DUMMYFUNCTION("GOOGLETRANSLATE(B353,""en"",""de"")"),"Schließen")</f>
        <v>Schließen</v>
      </c>
      <c r="J353" s="4" t="str">
        <f>IFERROR(__xludf.DUMMYFUNCTION("GOOGLETRANSLATE(B353,""en"",""ko"")"),"닫다")</f>
        <v>닫다</v>
      </c>
      <c r="K353" s="4" t="str">
        <f>IFERROR(__xludf.DUMMYFUNCTION("GOOGLETRANSLATE(B353,""en"",""zh"")"),"关闭")</f>
        <v>关闭</v>
      </c>
      <c r="L353" s="4" t="str">
        <f>IFERROR(__xludf.DUMMYFUNCTION("GOOGLETRANSLATE(B353,""en"",""es"")"),"Cerca")</f>
        <v>Cerca</v>
      </c>
      <c r="M353" s="4" t="str">
        <f>IFERROR(__xludf.DUMMYFUNCTION("GOOGLETRANSLATE(B353,""en"",""iw"")"),"לִסְגוֹר")</f>
        <v>לִסְגוֹר</v>
      </c>
      <c r="N353" s="4" t="str">
        <f>IFERROR(__xludf.DUMMYFUNCTION("GOOGLETRANSLATE(B353,""en"",""bn"")"),"বন্ধ")</f>
        <v>বন্ধ</v>
      </c>
      <c r="O353" s="4" t="str">
        <f>IFERROR(__xludf.DUMMYFUNCTION("GOOGLETRANSLATE(B353,""en"",""pt"")"),"Fechar")</f>
        <v>Fechar</v>
      </c>
    </row>
    <row r="354">
      <c r="A354" s="21" t="s">
        <v>927</v>
      </c>
      <c r="B354" s="22" t="s">
        <v>928</v>
      </c>
      <c r="C354" s="4" t="str">
        <f>IFERROR(__xludf.DUMMYFUNCTION("GOOGLETRANSLATE(B354,""en"",""hi"")"),"फ़ील्ड भरें")</f>
        <v>फ़ील्ड भरें</v>
      </c>
      <c r="D354" s="4" t="str">
        <f>IFERROR(__xludf.DUMMYFUNCTION("GOOGLETRANSLATE(B354,""en"",""ar"")"),"إملأ الحقول")</f>
        <v>إملأ الحقول</v>
      </c>
      <c r="E354" s="4" t="str">
        <f>IFERROR(__xludf.DUMMYFUNCTION("GOOGLETRANSLATE(B354,""en"",""fr"")"),"Remplissez les champs")</f>
        <v>Remplissez les champs</v>
      </c>
      <c r="F354" s="4" t="str">
        <f>IFERROR(__xludf.DUMMYFUNCTION("GOOGLETRANSLATE(B354,""en"",""tr"")"),"Alanları Doldurun")</f>
        <v>Alanları Doldurun</v>
      </c>
      <c r="G354" s="4" t="str">
        <f>IFERROR(__xludf.DUMMYFUNCTION("GOOGLETRANSLATE(B354,""en"",""ru"")"),"Заполните поля")</f>
        <v>Заполните поля</v>
      </c>
      <c r="H354" s="4" t="str">
        <f>IFERROR(__xludf.DUMMYFUNCTION("GOOGLETRANSLATE(B354,""en"",""it"")"),"Compila i campi")</f>
        <v>Compila i campi</v>
      </c>
      <c r="I354" s="4" t="str">
        <f>IFERROR(__xludf.DUMMYFUNCTION("GOOGLETRANSLATE(B354,""en"",""de"")"),"Füllen Sie die Felder aus")</f>
        <v>Füllen Sie die Felder aus</v>
      </c>
      <c r="J354" s="4" t="str">
        <f>IFERROR(__xludf.DUMMYFUNCTION("GOOGLETRANSLATE(B354,""en"",""ko"")"),"필드를 채우세요")</f>
        <v>필드를 채우세요</v>
      </c>
      <c r="K354" s="4" t="str">
        <f>IFERROR(__xludf.DUMMYFUNCTION("GOOGLETRANSLATE(B354,""en"",""zh"")"),"填写字段")</f>
        <v>填写字段</v>
      </c>
      <c r="L354" s="4" t="str">
        <f>IFERROR(__xludf.DUMMYFUNCTION("GOOGLETRANSLATE(B354,""en"",""es"")"),"Llene los campos")</f>
        <v>Llene los campos</v>
      </c>
      <c r="M354" s="4" t="str">
        <f>IFERROR(__xludf.DUMMYFUNCTION("GOOGLETRANSLATE(B354,""en"",""iw"")"),"מלא את השדות")</f>
        <v>מלא את השדות</v>
      </c>
      <c r="N354" s="4" t="str">
        <f>IFERROR(__xludf.DUMMYFUNCTION("GOOGLETRANSLATE(B354,""en"",""bn"")"),"ক্ষেত্রগুলি পূরণ করুন")</f>
        <v>ক্ষেত্রগুলি পূরণ করুন</v>
      </c>
      <c r="O354" s="4" t="str">
        <f>IFERROR(__xludf.DUMMYFUNCTION("GOOGLETRANSLATE(B354,""en"",""pt"")"),"Preencha os campos")</f>
        <v>Preencha os campos</v>
      </c>
    </row>
    <row r="355">
      <c r="A355" s="21" t="s">
        <v>929</v>
      </c>
      <c r="B355" s="22" t="s">
        <v>930</v>
      </c>
      <c r="C355" s="4" t="str">
        <f>IFERROR(__xludf.DUMMYFUNCTION("GOOGLETRANSLATE(B355,""en"",""hi"")"),"व्यवस्थापक आयोग")</f>
        <v>व्यवस्थापक आयोग</v>
      </c>
      <c r="D355" s="4" t="str">
        <f>IFERROR(__xludf.DUMMYFUNCTION("GOOGLETRANSLATE(B355,""en"",""ar"")"),"لجنة الإدارة")</f>
        <v>لجنة الإدارة</v>
      </c>
      <c r="E355" s="4" t="str">
        <f>IFERROR(__xludf.DUMMYFUNCTION("GOOGLETRANSLATE(B355,""en"",""fr"")"),"Commission administrative")</f>
        <v>Commission administrative</v>
      </c>
      <c r="F355" s="4" t="str">
        <f>IFERROR(__xludf.DUMMYFUNCTION("GOOGLETRANSLATE(B355,""en"",""tr"")"),"Yönetim Komisyonu")</f>
        <v>Yönetim Komisyonu</v>
      </c>
      <c r="G355" s="4" t="str">
        <f>IFERROR(__xludf.DUMMYFUNCTION("GOOGLETRANSLATE(B355,""en"",""ru"")"),"Административная комиссия")</f>
        <v>Административная комиссия</v>
      </c>
      <c r="H355" s="4" t="str">
        <f>IFERROR(__xludf.DUMMYFUNCTION("GOOGLETRANSLATE(B355,""en"",""it"")"),"Commissione amministrativa")</f>
        <v>Commissione amministrativa</v>
      </c>
      <c r="I355" s="4" t="str">
        <f>IFERROR(__xludf.DUMMYFUNCTION("GOOGLETRANSLATE(B355,""en"",""de"")"),"Verwaltungskommission")</f>
        <v>Verwaltungskommission</v>
      </c>
      <c r="J355" s="4" t="str">
        <f>IFERROR(__xludf.DUMMYFUNCTION("GOOGLETRANSLATE(B355,""en"",""ko"")"),"관리위원회")</f>
        <v>관리위원회</v>
      </c>
      <c r="K355" s="4" t="str">
        <f>IFERROR(__xludf.DUMMYFUNCTION("GOOGLETRANSLATE(B355,""en"",""zh"")"),"行政委员会")</f>
        <v>行政委员会</v>
      </c>
      <c r="L355" s="4" t="str">
        <f>IFERROR(__xludf.DUMMYFUNCTION("GOOGLETRANSLATE(B355,""en"",""es"")"),"Comisión de Administración")</f>
        <v>Comisión de Administración</v>
      </c>
      <c r="M355" s="4" t="str">
        <f>IFERROR(__xludf.DUMMYFUNCTION("GOOGLETRANSLATE(B355,""en"",""iw"")"),"ועדת ניהול")</f>
        <v>ועדת ניהול</v>
      </c>
      <c r="N355" s="4" t="str">
        <f>IFERROR(__xludf.DUMMYFUNCTION("GOOGLETRANSLATE(B355,""en"",""bn"")"),"অ্যাডমিন কমিশন")</f>
        <v>অ্যাডমিন কমিশন</v>
      </c>
      <c r="O355" s="4" t="str">
        <f>IFERROR(__xludf.DUMMYFUNCTION("GOOGLETRANSLATE(B355,""en"",""pt"")"),"Comissão Administrativa")</f>
        <v>Comissão Administrativa</v>
      </c>
    </row>
    <row r="356">
      <c r="A356" s="21" t="s">
        <v>931</v>
      </c>
      <c r="B356" s="22" t="s">
        <v>932</v>
      </c>
      <c r="C356" s="4" t="str">
        <f>IFERROR(__xludf.DUMMYFUNCTION("GOOGLETRANSLATE(B356,""en"",""hi"")"),"अधिसूचना हटा दी गई")</f>
        <v>अधिसूचना हटा दी गई</v>
      </c>
      <c r="D356" s="4" t="str">
        <f>IFERROR(__xludf.DUMMYFUNCTION("GOOGLETRANSLATE(B356,""en"",""ar"")"),"تم حذف الإشعار")</f>
        <v>تم حذف الإشعار</v>
      </c>
      <c r="E356" s="4" t="str">
        <f>IFERROR(__xludf.DUMMYFUNCTION("GOOGLETRANSLATE(B356,""en"",""fr"")"),"Notification supprimée")</f>
        <v>Notification supprimée</v>
      </c>
      <c r="F356" s="4" t="str">
        <f>IFERROR(__xludf.DUMMYFUNCTION("GOOGLETRANSLATE(B356,""en"",""tr"")"),"Bildirim Silindi")</f>
        <v>Bildirim Silindi</v>
      </c>
      <c r="G356" s="4" t="str">
        <f>IFERROR(__xludf.DUMMYFUNCTION("GOOGLETRANSLATE(B356,""en"",""ru"")"),"Уведомление удалено")</f>
        <v>Уведомление удалено</v>
      </c>
      <c r="H356" s="4" t="str">
        <f>IFERROR(__xludf.DUMMYFUNCTION("GOOGLETRANSLATE(B356,""en"",""it"")"),"Notifica eliminata")</f>
        <v>Notifica eliminata</v>
      </c>
      <c r="I356" s="4" t="str">
        <f>IFERROR(__xludf.DUMMYFUNCTION("GOOGLETRANSLATE(B356,""en"",""de"")"),"Benachrichtigung gelöscht")</f>
        <v>Benachrichtigung gelöscht</v>
      </c>
      <c r="J356" s="4" t="str">
        <f>IFERROR(__xludf.DUMMYFUNCTION("GOOGLETRANSLATE(B356,""en"",""ko"")"),"알림이 삭제되었습니다")</f>
        <v>알림이 삭제되었습니다</v>
      </c>
      <c r="K356" s="4" t="str">
        <f>IFERROR(__xludf.DUMMYFUNCTION("GOOGLETRANSLATE(B356,""en"",""zh"")"),"通知已删除")</f>
        <v>通知已删除</v>
      </c>
      <c r="L356" s="4" t="str">
        <f>IFERROR(__xludf.DUMMYFUNCTION("GOOGLETRANSLATE(B356,""en"",""es"")"),"Notificación eliminada")</f>
        <v>Notificación eliminada</v>
      </c>
      <c r="M356" s="4" t="str">
        <f>IFERROR(__xludf.DUMMYFUNCTION("GOOGLETRANSLATE(B356,""en"",""iw"")"),"ההודעה נמחקה")</f>
        <v>ההודעה נמחקה</v>
      </c>
      <c r="N356" s="4" t="str">
        <f>IFERROR(__xludf.DUMMYFUNCTION("GOOGLETRANSLATE(B356,""en"",""bn"")"),"বিজ্ঞপ্তি মুছে ফেলা হয়েছে")</f>
        <v>বিজ্ঞপ্তি মুছে ফেলা হয়েছে</v>
      </c>
      <c r="O356" s="4" t="str">
        <f>IFERROR(__xludf.DUMMYFUNCTION("GOOGLETRANSLATE(B356,""en"",""pt"")"),"Notificação excluída")</f>
        <v>Notificação excluída</v>
      </c>
    </row>
    <row r="357">
      <c r="A357" s="21" t="s">
        <v>933</v>
      </c>
      <c r="B357" s="22" t="s">
        <v>934</v>
      </c>
      <c r="C357" s="4" t="str">
        <f>IFERROR(__xludf.DUMMYFUNCTION("GOOGLETRANSLATE(B357,""en"",""hi"")"),"सफलतापूर्वक स्थानांतरित")</f>
        <v>सफलतापूर्वक स्थानांतरित</v>
      </c>
      <c r="D357" s="4" t="str">
        <f>IFERROR(__xludf.DUMMYFUNCTION("GOOGLETRANSLATE(B357,""en"",""ar"")"),"تم النقل بنجاح")</f>
        <v>تم النقل بنجاح</v>
      </c>
      <c r="E357" s="4" t="str">
        <f>IFERROR(__xludf.DUMMYFUNCTION("GOOGLETRANSLATE(B357,""en"",""fr"")"),"Transféré avec succès")</f>
        <v>Transféré avec succès</v>
      </c>
      <c r="F357" s="4" t="str">
        <f>IFERROR(__xludf.DUMMYFUNCTION("GOOGLETRANSLATE(B357,""en"",""tr"")"),"Başarıyla Aktarıldı")</f>
        <v>Başarıyla Aktarıldı</v>
      </c>
      <c r="G357" s="4" t="str">
        <f>IFERROR(__xludf.DUMMYFUNCTION("GOOGLETRANSLATE(B357,""en"",""ru"")"),"Передано успешно")</f>
        <v>Передано успешно</v>
      </c>
      <c r="H357" s="4" t="str">
        <f>IFERROR(__xludf.DUMMYFUNCTION("GOOGLETRANSLATE(B357,""en"",""it"")"),"Trasferito con successo")</f>
        <v>Trasferito con successo</v>
      </c>
      <c r="I357" s="4" t="str">
        <f>IFERROR(__xludf.DUMMYFUNCTION("GOOGLETRANSLATE(B357,""en"",""de"")"),"Erfolgreich übertragen")</f>
        <v>Erfolgreich übertragen</v>
      </c>
      <c r="J357" s="4" t="str">
        <f>IFERROR(__xludf.DUMMYFUNCTION("GOOGLETRANSLATE(B357,""en"",""ko"")"),"성공적으로 전송되었습니다")</f>
        <v>성공적으로 전송되었습니다</v>
      </c>
      <c r="K357" s="4" t="str">
        <f>IFERROR(__xludf.DUMMYFUNCTION("GOOGLETRANSLATE(B357,""en"",""zh"")"),"转移成功")</f>
        <v>转移成功</v>
      </c>
      <c r="L357" s="4" t="str">
        <f>IFERROR(__xludf.DUMMYFUNCTION("GOOGLETRANSLATE(B357,""en"",""es"")"),"Transferido exitosamente")</f>
        <v>Transferido exitosamente</v>
      </c>
      <c r="M357" s="4" t="str">
        <f>IFERROR(__xludf.DUMMYFUNCTION("GOOGLETRANSLATE(B357,""en"",""iw"")"),"הועבר בהצלחה")</f>
        <v>הועבר בהצלחה</v>
      </c>
      <c r="N357" s="4" t="str">
        <f>IFERROR(__xludf.DUMMYFUNCTION("GOOGLETRANSLATE(B357,""en"",""bn"")"),"সফলভাবে স্থানান্তর করা হয়েছে")</f>
        <v>সফলভাবে স্থানান্তর করা হয়েছে</v>
      </c>
      <c r="O357" s="4" t="str">
        <f>IFERROR(__xludf.DUMMYFUNCTION("GOOGLETRANSLATE(B357,""en"",""pt"")"),"Transferido com sucesso")</f>
        <v>Transferido com sucesso</v>
      </c>
    </row>
    <row r="358">
      <c r="A358" s="21" t="s">
        <v>935</v>
      </c>
      <c r="B358" s="24" t="s">
        <v>936</v>
      </c>
      <c r="C358" s="4" t="str">
        <f>IFERROR(__xludf.DUMMYFUNCTION("GOOGLETRANSLATE(B358,""en"",""hi"")"),"खाता")</f>
        <v>खाता</v>
      </c>
      <c r="D358" s="4" t="str">
        <f>IFERROR(__xludf.DUMMYFUNCTION("GOOGLETRANSLATE(B358,""en"",""ar"")"),"حساب")</f>
        <v>حساب</v>
      </c>
      <c r="E358" s="4" t="str">
        <f>IFERROR(__xludf.DUMMYFUNCTION("GOOGLETRANSLATE(B358,""en"",""fr"")"),"Compte")</f>
        <v>Compte</v>
      </c>
      <c r="F358" s="4" t="str">
        <f>IFERROR(__xludf.DUMMYFUNCTION("GOOGLETRANSLATE(B358,""en"",""tr"")"),"Hesap")</f>
        <v>Hesap</v>
      </c>
      <c r="G358" s="4" t="str">
        <f>IFERROR(__xludf.DUMMYFUNCTION("GOOGLETRANSLATE(B358,""en"",""ru"")"),"Счет")</f>
        <v>Счет</v>
      </c>
      <c r="H358" s="4" t="str">
        <f>IFERROR(__xludf.DUMMYFUNCTION("GOOGLETRANSLATE(B358,""en"",""it"")"),"Account")</f>
        <v>Account</v>
      </c>
      <c r="I358" s="4" t="str">
        <f>IFERROR(__xludf.DUMMYFUNCTION("GOOGLETRANSLATE(B358,""en"",""de"")"),"Konto")</f>
        <v>Konto</v>
      </c>
      <c r="J358" s="4" t="str">
        <f>IFERROR(__xludf.DUMMYFUNCTION("GOOGLETRANSLATE(B358,""en"",""ko"")"),"계정")</f>
        <v>계정</v>
      </c>
      <c r="K358" s="4" t="str">
        <f>IFERROR(__xludf.DUMMYFUNCTION("GOOGLETRANSLATE(B358,""en"",""zh"")"),"帐户")</f>
        <v>帐户</v>
      </c>
      <c r="L358" s="4" t="str">
        <f>IFERROR(__xludf.DUMMYFUNCTION("GOOGLETRANSLATE(B358,""en"",""es"")"),"Cuenta")</f>
        <v>Cuenta</v>
      </c>
      <c r="M358" s="4" t="str">
        <f>IFERROR(__xludf.DUMMYFUNCTION("GOOGLETRANSLATE(B358,""en"",""iw"")"),"חֶשְׁבּוֹן")</f>
        <v>חֶשְׁבּוֹן</v>
      </c>
      <c r="N358" s="4" t="str">
        <f>IFERROR(__xludf.DUMMYFUNCTION("GOOGLETRANSLATE(B358,""en"",""bn"")"),"হিসাব")</f>
        <v>হিসাব</v>
      </c>
      <c r="O358" s="4" t="str">
        <f>IFERROR(__xludf.DUMMYFUNCTION("GOOGLETRANSLATE(B358,""en"",""pt"")"),"Conta")</f>
        <v>Conta</v>
      </c>
    </row>
    <row r="359">
      <c r="A359" s="21" t="s">
        <v>937</v>
      </c>
      <c r="B359" s="22" t="s">
        <v>938</v>
      </c>
      <c r="C359" s="4" t="str">
        <f>IFERROR(__xludf.DUMMYFUNCTION("GOOGLETRANSLATE(B359,""en"",""hi"")"),"सामान्य")</f>
        <v>सामान्य</v>
      </c>
      <c r="D359" s="4" t="str">
        <f>IFERROR(__xludf.DUMMYFUNCTION("GOOGLETRANSLATE(B359,""en"",""ar"")"),"عام")</f>
        <v>عام</v>
      </c>
      <c r="E359" s="4" t="str">
        <f>IFERROR(__xludf.DUMMYFUNCTION("GOOGLETRANSLATE(B359,""en"",""fr"")"),"Général")</f>
        <v>Général</v>
      </c>
      <c r="F359" s="4" t="str">
        <f>IFERROR(__xludf.DUMMYFUNCTION("GOOGLETRANSLATE(B359,""en"",""tr"")"),"Genel")</f>
        <v>Genel</v>
      </c>
      <c r="G359" s="4" t="str">
        <f>IFERROR(__xludf.DUMMYFUNCTION("GOOGLETRANSLATE(B359,""en"",""ru"")"),"Общий")</f>
        <v>Общий</v>
      </c>
      <c r="H359" s="4" t="str">
        <f>IFERROR(__xludf.DUMMYFUNCTION("GOOGLETRANSLATE(B359,""en"",""it"")"),"Generale")</f>
        <v>Generale</v>
      </c>
      <c r="I359" s="4" t="str">
        <f>IFERROR(__xludf.DUMMYFUNCTION("GOOGLETRANSLATE(B359,""en"",""de"")"),"Allgemein")</f>
        <v>Allgemein</v>
      </c>
      <c r="J359" s="4" t="str">
        <f>IFERROR(__xludf.DUMMYFUNCTION("GOOGLETRANSLATE(B359,""en"",""ko"")"),"일반적인")</f>
        <v>일반적인</v>
      </c>
      <c r="K359" s="4" t="str">
        <f>IFERROR(__xludf.DUMMYFUNCTION("GOOGLETRANSLATE(B359,""en"",""zh"")"),"一般的")</f>
        <v>一般的</v>
      </c>
      <c r="L359" s="4" t="str">
        <f>IFERROR(__xludf.DUMMYFUNCTION("GOOGLETRANSLATE(B359,""en"",""es"")"),"General")</f>
        <v>General</v>
      </c>
      <c r="M359" s="4" t="str">
        <f>IFERROR(__xludf.DUMMYFUNCTION("GOOGLETRANSLATE(B359,""en"",""iw"")"),"כְּלָלִי")</f>
        <v>כְּלָלִי</v>
      </c>
      <c r="N359" s="4" t="str">
        <f>IFERROR(__xludf.DUMMYFUNCTION("GOOGLETRANSLATE(B359,""en"",""bn"")"),"সাধারণ")</f>
        <v>সাধারণ</v>
      </c>
      <c r="O359" s="4" t="str">
        <f>IFERROR(__xludf.DUMMYFUNCTION("GOOGLETRANSLATE(B359,""en"",""pt"")"),"Em geral")</f>
        <v>Em geral</v>
      </c>
    </row>
    <row r="360">
      <c r="A360" s="21" t="s">
        <v>939</v>
      </c>
      <c r="B360" s="22" t="s">
        <v>940</v>
      </c>
      <c r="C360" s="4" t="str">
        <f>IFERROR(__xludf.DUMMYFUNCTION("GOOGLETRANSLATE(B360,""en"",""hi"")"),"हमसे संपर्क करें")</f>
        <v>हमसे संपर्क करें</v>
      </c>
      <c r="D360" s="4" t="str">
        <f>IFERROR(__xludf.DUMMYFUNCTION("GOOGLETRANSLATE(B360,""en"",""ar"")"),"اتصل بنا")</f>
        <v>اتصل بنا</v>
      </c>
      <c r="E360" s="4" t="str">
        <f>IFERROR(__xludf.DUMMYFUNCTION("GOOGLETRANSLATE(B360,""en"",""fr"")"),"Contactez-nous")</f>
        <v>Contactez-nous</v>
      </c>
      <c r="F360" s="4" t="str">
        <f>IFERROR(__xludf.DUMMYFUNCTION("GOOGLETRANSLATE(B360,""en"",""tr"")"),"Bize Ulaşın")</f>
        <v>Bize Ulaşın</v>
      </c>
      <c r="G360" s="4" t="str">
        <f>IFERROR(__xludf.DUMMYFUNCTION("GOOGLETRANSLATE(B360,""en"",""ru"")"),"Связаться с нами")</f>
        <v>Связаться с нами</v>
      </c>
      <c r="H360" s="4" t="str">
        <f>IFERROR(__xludf.DUMMYFUNCTION("GOOGLETRANSLATE(B360,""en"",""it"")"),"Contattaci")</f>
        <v>Contattaci</v>
      </c>
      <c r="I360" s="4" t="str">
        <f>IFERROR(__xludf.DUMMYFUNCTION("GOOGLETRANSLATE(B360,""en"",""de"")"),"Kontaktieren Sie uns")</f>
        <v>Kontaktieren Sie uns</v>
      </c>
      <c r="J360" s="4" t="str">
        <f>IFERROR(__xludf.DUMMYFUNCTION("GOOGLETRANSLATE(B360,""en"",""ko"")"),"문의하기")</f>
        <v>문의하기</v>
      </c>
      <c r="K360" s="4" t="str">
        <f>IFERROR(__xludf.DUMMYFUNCTION("GOOGLETRANSLATE(B360,""en"",""zh"")"),"联系我们")</f>
        <v>联系我们</v>
      </c>
      <c r="L360" s="4" t="str">
        <f>IFERROR(__xludf.DUMMYFUNCTION("GOOGLETRANSLATE(B360,""en"",""es"")"),"Contáctanos")</f>
        <v>Contáctanos</v>
      </c>
      <c r="M360" s="4" t="str">
        <f>IFERROR(__xludf.DUMMYFUNCTION("GOOGLETRANSLATE(B360,""en"",""iw"")"),"צור איתנו קשר")</f>
        <v>צור איתנו קשר</v>
      </c>
      <c r="N360" s="4" t="str">
        <f>IFERROR(__xludf.DUMMYFUNCTION("GOOGLETRANSLATE(B360,""en"",""bn"")"),"আমাদের সাথে যোগাযোগ করুন")</f>
        <v>আমাদের সাথে যোগাযোগ করুন</v>
      </c>
      <c r="O360" s="4" t="str">
        <f>IFERROR(__xludf.DUMMYFUNCTION("GOOGLETRANSLATE(B360,""en"",""pt"")"),"Contate-nos")</f>
        <v>Contate-nos</v>
      </c>
    </row>
    <row r="361">
      <c r="A361" s="21" t="s">
        <v>941</v>
      </c>
      <c r="B361" s="22" t="s">
        <v>942</v>
      </c>
      <c r="C361" s="4" t="str">
        <f>IFERROR(__xludf.DUMMYFUNCTION("GOOGLETRANSLATE(B361,""en"",""hi"")"),"यहाँ कोई ऑर्डर नहीं")</f>
        <v>यहाँ कोई ऑर्डर नहीं</v>
      </c>
      <c r="D361" s="4" t="str">
        <f>IFERROR(__xludf.DUMMYFUNCTION("GOOGLETRANSLATE(B361,""en"",""ar"")"),"لا يوجد طلب هنا")</f>
        <v>لا يوجد طلب هنا</v>
      </c>
      <c r="E361" s="4" t="str">
        <f>IFERROR(__xludf.DUMMYFUNCTION("GOOGLETRANSLATE(B361,""en"",""fr"")"),"Pas de commande ici")</f>
        <v>Pas de commande ici</v>
      </c>
      <c r="F361" s="4" t="str">
        <f>IFERROR(__xludf.DUMMYFUNCTION("GOOGLETRANSLATE(B361,""en"",""tr"")"),"Burada Sipariş Yok")</f>
        <v>Burada Sipariş Yok</v>
      </c>
      <c r="G361" s="4" t="str">
        <f>IFERROR(__xludf.DUMMYFUNCTION("GOOGLETRANSLATE(B361,""en"",""ru"")"),"Здесь нет порядка")</f>
        <v>Здесь нет порядка</v>
      </c>
      <c r="H361" s="4" t="str">
        <f>IFERROR(__xludf.DUMMYFUNCTION("GOOGLETRANSLATE(B361,""en"",""it"")"),"Nessun ordine qui")</f>
        <v>Nessun ordine qui</v>
      </c>
      <c r="I361" s="4" t="str">
        <f>IFERROR(__xludf.DUMMYFUNCTION("GOOGLETRANSLATE(B361,""en"",""de"")"),"Keine Bestellung hier")</f>
        <v>Keine Bestellung hier</v>
      </c>
      <c r="J361" s="4" t="str">
        <f>IFERROR(__xludf.DUMMYFUNCTION("GOOGLETRANSLATE(B361,""en"",""ko"")"),"여기서는 주문이 없습니다")</f>
        <v>여기서는 주문이 없습니다</v>
      </c>
      <c r="K361" s="4" t="str">
        <f>IFERROR(__xludf.DUMMYFUNCTION("GOOGLETRANSLATE(B361,""en"",""zh"")"),"这里没有订单")</f>
        <v>这里没有订单</v>
      </c>
      <c r="L361" s="4" t="str">
        <f>IFERROR(__xludf.DUMMYFUNCTION("GOOGLETRANSLATE(B361,""en"",""es"")"),"No hay orden aquí")</f>
        <v>No hay orden aquí</v>
      </c>
      <c r="M361" s="4" t="str">
        <f>IFERROR(__xludf.DUMMYFUNCTION("GOOGLETRANSLATE(B361,""en"",""iw"")"),"אין סדר כאן")</f>
        <v>אין סדר כאן</v>
      </c>
      <c r="N361" s="4" t="str">
        <f>IFERROR(__xludf.DUMMYFUNCTION("GOOGLETRANSLATE(B361,""en"",""bn"")"),"এখানে কোন অর্ডার নেই")</f>
        <v>এখানে কোন অর্ডার নেই</v>
      </c>
      <c r="O361" s="4" t="str">
        <f>IFERROR(__xludf.DUMMYFUNCTION("GOOGLETRANSLATE(B361,""en"",""pt"")"),"Nenhuma ordem aqui")</f>
        <v>Nenhuma ordem aqui</v>
      </c>
    </row>
    <row r="362">
      <c r="A362" s="21" t="s">
        <v>943</v>
      </c>
      <c r="B362" s="22" t="s">
        <v>944</v>
      </c>
      <c r="C362" s="4" t="str">
        <f>IFERROR(__xludf.DUMMYFUNCTION("GOOGLETRANSLATE(B362,""en"",""hi"")"),"नवीनतम लेनदेन")</f>
        <v>नवीनतम लेनदेन</v>
      </c>
      <c r="D362" s="4" t="str">
        <f>IFERROR(__xludf.DUMMYFUNCTION("GOOGLETRANSLATE(B362,""en"",""ar"")"),"أحدث المعاملات")</f>
        <v>أحدث المعاملات</v>
      </c>
      <c r="E362" s="4" t="str">
        <f>IFERROR(__xludf.DUMMYFUNCTION("GOOGLETRANSLATE(B362,""en"",""fr"")"),"Dernières transactions")</f>
        <v>Dernières transactions</v>
      </c>
      <c r="F362" s="4" t="str">
        <f>IFERROR(__xludf.DUMMYFUNCTION("GOOGLETRANSLATE(B362,""en"",""tr"")"),"Son İşlemler")</f>
        <v>Son İşlemler</v>
      </c>
      <c r="G362" s="4" t="str">
        <f>IFERROR(__xludf.DUMMYFUNCTION("GOOGLETRANSLATE(B362,""en"",""ru"")"),"Последние транзакции")</f>
        <v>Последние транзакции</v>
      </c>
      <c r="H362" s="4" t="str">
        <f>IFERROR(__xludf.DUMMYFUNCTION("GOOGLETRANSLATE(B362,""en"",""it"")"),"Ultime transazioni")</f>
        <v>Ultime transazioni</v>
      </c>
      <c r="I362" s="4" t="str">
        <f>IFERROR(__xludf.DUMMYFUNCTION("GOOGLETRANSLATE(B362,""en"",""de"")"),"Letzte Transaktionen")</f>
        <v>Letzte Transaktionen</v>
      </c>
      <c r="J362" s="4" t="str">
        <f>IFERROR(__xludf.DUMMYFUNCTION("GOOGLETRANSLATE(B362,""en"",""ko"")"),"최근 거래")</f>
        <v>최근 거래</v>
      </c>
      <c r="K362" s="4" t="str">
        <f>IFERROR(__xludf.DUMMYFUNCTION("GOOGLETRANSLATE(B362,""en"",""zh"")"),"最新交易")</f>
        <v>最新交易</v>
      </c>
      <c r="L362" s="4" t="str">
        <f>IFERROR(__xludf.DUMMYFUNCTION("GOOGLETRANSLATE(B362,""en"",""es"")"),"Últimas transacciones")</f>
        <v>Últimas transacciones</v>
      </c>
      <c r="M362" s="4" t="str">
        <f>IFERROR(__xludf.DUMMYFUNCTION("GOOGLETRANSLATE(B362,""en"",""iw"")"),"עסקאות אחרונות")</f>
        <v>עסקאות אחרונות</v>
      </c>
      <c r="N362" s="4" t="str">
        <f>IFERROR(__xludf.DUMMYFUNCTION("GOOGLETRANSLATE(B362,""en"",""bn"")"),"সর্বশেষ লেনদেন")</f>
        <v>সর্বশেষ লেনদেন</v>
      </c>
      <c r="O362" s="4" t="str">
        <f>IFERROR(__xludf.DUMMYFUNCTION("GOOGLETRANSLATE(B362,""en"",""pt"")"),"Últimas transações")</f>
        <v>Últimas transações</v>
      </c>
    </row>
    <row r="363">
      <c r="A363" s="25" t="s">
        <v>945</v>
      </c>
      <c r="B363" s="22" t="s">
        <v>946</v>
      </c>
      <c r="C363" s="4" t="str">
        <f>IFERROR(__xludf.DUMMYFUNCTION("GOOGLETRANSLATE(B363,""en"",""hi"")"),"रिचार्ज बैलेंस")</f>
        <v>रिचार्ज बैलेंस</v>
      </c>
      <c r="D363" s="4" t="str">
        <f>IFERROR(__xludf.DUMMYFUNCTION("GOOGLETRANSLATE(B363,""en"",""ar"")"),"إعادة شحن الرصيد")</f>
        <v>إعادة شحن الرصيد</v>
      </c>
      <c r="E363" s="4" t="str">
        <f>IFERROR(__xludf.DUMMYFUNCTION("GOOGLETRANSLATE(B363,""en"",""fr"")"),"Recharger le solde")</f>
        <v>Recharger le solde</v>
      </c>
      <c r="F363" s="4" t="str">
        <f>IFERROR(__xludf.DUMMYFUNCTION("GOOGLETRANSLATE(B363,""en"",""tr"")"),"Bakiyeyi Yeniden Yükle")</f>
        <v>Bakiyeyi Yeniden Yükle</v>
      </c>
      <c r="G363" s="4" t="str">
        <f>IFERROR(__xludf.DUMMYFUNCTION("GOOGLETRANSLATE(B363,""en"",""ru"")"),"Пополнение баланса")</f>
        <v>Пополнение баланса</v>
      </c>
      <c r="H363" s="4" t="str">
        <f>IFERROR(__xludf.DUMMYFUNCTION("GOOGLETRANSLATE(B363,""en"",""it"")"),"Ricarica saldo")</f>
        <v>Ricarica saldo</v>
      </c>
      <c r="I363" s="4" t="str">
        <f>IFERROR(__xludf.DUMMYFUNCTION("GOOGLETRANSLATE(B363,""en"",""de"")"),"Guthaben aufladen")</f>
        <v>Guthaben aufladen</v>
      </c>
      <c r="J363" s="4" t="str">
        <f>IFERROR(__xludf.DUMMYFUNCTION("GOOGLETRANSLATE(B363,""en"",""ko"")"),"충전 잔액")</f>
        <v>충전 잔액</v>
      </c>
      <c r="K363" s="4" t="str">
        <f>IFERROR(__xludf.DUMMYFUNCTION("GOOGLETRANSLATE(B363,""en"",""zh"")"),"充值余额")</f>
        <v>充值余额</v>
      </c>
      <c r="L363" s="4" t="str">
        <f>IFERROR(__xludf.DUMMYFUNCTION("GOOGLETRANSLATE(B363,""en"",""es"")"),"Recargar saldo")</f>
        <v>Recargar saldo</v>
      </c>
      <c r="M363" s="4" t="str">
        <f>IFERROR(__xludf.DUMMYFUNCTION("GOOGLETRANSLATE(B363,""en"",""iw"")"),"לטעון איזון")</f>
        <v>לטעון איזון</v>
      </c>
      <c r="N363" s="4" t="str">
        <f>IFERROR(__xludf.DUMMYFUNCTION("GOOGLETRANSLATE(B363,""en"",""bn"")"),"রিচার্জ ব্যালেন্স")</f>
        <v>রিচার্জ ব্যালেন্স</v>
      </c>
      <c r="O363" s="4" t="str">
        <f>IFERROR(__xludf.DUMMYFUNCTION("GOOGLETRANSLATE(B363,""en"",""pt"")"),"Saldo de recarga")</f>
        <v>Saldo de recarga</v>
      </c>
    </row>
    <row r="364">
      <c r="A364" s="26" t="s">
        <v>947</v>
      </c>
      <c r="B364" s="22" t="s">
        <v>948</v>
      </c>
      <c r="C364" s="4" t="str">
        <f>IFERROR(__xludf.DUMMYFUNCTION("GOOGLETRANSLATE(B364,""en"",""hi"")"),"यहां आप अपना वॉलेट टॉप-अप कर सकते हैं")</f>
        <v>यहां आप अपना वॉलेट टॉप-अप कर सकते हैं</v>
      </c>
      <c r="D364" s="4" t="str">
        <f>IFERROR(__xludf.DUMMYFUNCTION("GOOGLETRANSLATE(B364,""en"",""ar"")"),"هنا يمكنك شحن محفظتك")</f>
        <v>هنا يمكنك شحن محفظتك</v>
      </c>
      <c r="E364" s="4" t="str">
        <f>IFERROR(__xludf.DUMMYFUNCTION("GOOGLETRANSLATE(B364,""en"",""fr"")"),"Ici vous pouvez recharger votre portefeuille")</f>
        <v>Ici vous pouvez recharger votre portefeuille</v>
      </c>
      <c r="F364" s="4" t="str">
        <f>IFERROR(__xludf.DUMMYFUNCTION("GOOGLETRANSLATE(B364,""en"",""tr"")"),"Burada cüzdanınıza para yükleyebilirsiniz")</f>
        <v>Burada cüzdanınıza para yükleyebilirsiniz</v>
      </c>
      <c r="G364" s="4" t="str">
        <f>IFERROR(__xludf.DUMMYFUNCTION("GOOGLETRANSLATE(B364,""en"",""ru"")"),"Здесь вы можете пополнить свой кошелек")</f>
        <v>Здесь вы можете пополнить свой кошелек</v>
      </c>
      <c r="H364" s="4" t="str">
        <f>IFERROR(__xludf.DUMMYFUNCTION("GOOGLETRANSLATE(B364,""en"",""it"")"),"Qui puoi ricaricare il tuo portafoglio")</f>
        <v>Qui puoi ricaricare il tuo portafoglio</v>
      </c>
      <c r="I364" s="4" t="str">
        <f>IFERROR(__xludf.DUMMYFUNCTION("GOOGLETRANSLATE(B364,""en"",""de"")"),"Hier können Sie Ihr Guthaben aufladen")</f>
        <v>Hier können Sie Ihr Guthaben aufladen</v>
      </c>
      <c r="J364" s="4" t="str">
        <f>IFERROR(__xludf.DUMMYFUNCTION("GOOGLETRANSLATE(B364,""en"",""ko"")"),"여기서 지갑에 충전할 수 있습니다")</f>
        <v>여기서 지갑에 충전할 수 있습니다</v>
      </c>
      <c r="K364" s="4" t="str">
        <f>IFERROR(__xludf.DUMMYFUNCTION("GOOGLETRANSLATE(B364,""en"",""zh"")"),"您可以在这里充值您的钱包")</f>
        <v>您可以在这里充值您的钱包</v>
      </c>
      <c r="L364" s="4" t="str">
        <f>IFERROR(__xludf.DUMMYFUNCTION("GOOGLETRANSLATE(B364,""en"",""es"")"),"Aquí puedes recargar tu billetera")</f>
        <v>Aquí puedes recargar tu billetera</v>
      </c>
      <c r="M364" s="4" t="str">
        <f>IFERROR(__xludf.DUMMYFUNCTION("GOOGLETRANSLATE(B364,""en"",""iw"")"),"כאן תוכלו למלא את הארנק")</f>
        <v>כאן תוכלו למלא את הארנק</v>
      </c>
      <c r="N364" s="4" t="str">
        <f>IFERROR(__xludf.DUMMYFUNCTION("GOOGLETRANSLATE(B364,""en"",""bn"")"),"এখানে আপনি আপনার ওয়ালেট টপ-আপ করতে পারেন")</f>
        <v>এখানে আপনি আপনার ওয়ালেট টপ-আপ করতে পারেন</v>
      </c>
      <c r="O364" s="4" t="str">
        <f>IFERROR(__xludf.DUMMYFUNCTION("GOOGLETRANSLATE(B364,""en"",""pt"")"),"Aqui você pode recarregar sua carteira")</f>
        <v>Aqui você pode recarregar sua carteira</v>
      </c>
    </row>
    <row r="365">
      <c r="A365" s="27" t="s">
        <v>949</v>
      </c>
      <c r="B365" s="22" t="s">
        <v>950</v>
      </c>
      <c r="C365" s="4" t="str">
        <f>IFERROR(__xludf.DUMMYFUNCTION("GOOGLETRANSLATE(B365,""en"",""hi"")"),"धन हस्तांतरण")</f>
        <v>धन हस्तांतरण</v>
      </c>
      <c r="D365" s="4" t="str">
        <f>IFERROR(__xludf.DUMMYFUNCTION("GOOGLETRANSLATE(B365,""en"",""ar"")"),"تحويل الأموال")</f>
        <v>تحويل الأموال</v>
      </c>
      <c r="E365" s="4" t="str">
        <f>IFERROR(__xludf.DUMMYFUNCTION("GOOGLETRANSLATE(B365,""en"",""fr"")"),"Transférer de l'argent")</f>
        <v>Transférer de l'argent</v>
      </c>
      <c r="F365" s="4" t="str">
        <f>IFERROR(__xludf.DUMMYFUNCTION("GOOGLETRANSLATE(B365,""en"",""tr"")"),"Para Transferi")</f>
        <v>Para Transferi</v>
      </c>
      <c r="G365" s="4" t="str">
        <f>IFERROR(__xludf.DUMMYFUNCTION("GOOGLETRANSLATE(B365,""en"",""ru"")"),"Перевод денег")</f>
        <v>Перевод денег</v>
      </c>
      <c r="H365" s="4" t="str">
        <f>IFERROR(__xludf.DUMMYFUNCTION("GOOGLETRANSLATE(B365,""en"",""it"")"),"Trasferisci denaro")</f>
        <v>Trasferisci denaro</v>
      </c>
      <c r="I365" s="4" t="str">
        <f>IFERROR(__xludf.DUMMYFUNCTION("GOOGLETRANSLATE(B365,""en"",""de"")"),"Geld überweisen")</f>
        <v>Geld überweisen</v>
      </c>
      <c r="J365" s="4" t="str">
        <f>IFERROR(__xludf.DUMMYFUNCTION("GOOGLETRANSLATE(B365,""en"",""ko"")"),"송금")</f>
        <v>송금</v>
      </c>
      <c r="K365" s="4" t="str">
        <f>IFERROR(__xludf.DUMMYFUNCTION("GOOGLETRANSLATE(B365,""en"",""zh"")"),"转账")</f>
        <v>转账</v>
      </c>
      <c r="L365" s="4" t="str">
        <f>IFERROR(__xludf.DUMMYFUNCTION("GOOGLETRANSLATE(B365,""en"",""es"")"),"Transferir dinero")</f>
        <v>Transferir dinero</v>
      </c>
      <c r="M365" s="4" t="str">
        <f>IFERROR(__xludf.DUMMYFUNCTION("GOOGLETRANSLATE(B365,""en"",""iw"")"),"העבר כסף")</f>
        <v>העבר כסף</v>
      </c>
      <c r="N365" s="4" t="str">
        <f>IFERROR(__xludf.DUMMYFUNCTION("GOOGLETRANSLATE(B365,""en"",""bn"")"),"টাকা ট্রান্সফার করুন")</f>
        <v>টাকা ট্রান্সফার করুন</v>
      </c>
      <c r="O365" s="4" t="str">
        <f>IFERROR(__xludf.DUMMYFUNCTION("GOOGLETRANSLATE(B365,""en"",""pt"")"),"Transferir dinheiro")</f>
        <v>Transferir dinheiro</v>
      </c>
    </row>
    <row r="366">
      <c r="A366" s="28" t="s">
        <v>951</v>
      </c>
      <c r="B366" s="29" t="s">
        <v>952</v>
      </c>
      <c r="C366" s="4" t="str">
        <f>IFERROR(__xludf.DUMMYFUNCTION("GOOGLETRANSLATE(B366,""en"",""hi"")"),"आज की कमाई")</f>
        <v>आज की कमाई</v>
      </c>
      <c r="D366" s="4" t="str">
        <f>IFERROR(__xludf.DUMMYFUNCTION("GOOGLETRANSLATE(B366,""en"",""ar"")"),"أرباح اليوم")</f>
        <v>أرباح اليوم</v>
      </c>
      <c r="E366" s="4" t="str">
        <f>IFERROR(__xludf.DUMMYFUNCTION("GOOGLETRANSLATE(B366,""en"",""fr"")"),"Bénéfices d'aujourd'hui")</f>
        <v>Bénéfices d'aujourd'hui</v>
      </c>
      <c r="F366" s="4" t="str">
        <f>IFERROR(__xludf.DUMMYFUNCTION("GOOGLETRANSLATE(B366,""en"",""tr"")"),"Bugünkü Kazançlar")</f>
        <v>Bugünkü Kazançlar</v>
      </c>
      <c r="G366" s="4" t="str">
        <f>IFERROR(__xludf.DUMMYFUNCTION("GOOGLETRANSLATE(B366,""en"",""ru"")"),"Сегодняшний доход")</f>
        <v>Сегодняшний доход</v>
      </c>
      <c r="H366" s="4" t="str">
        <f>IFERROR(__xludf.DUMMYFUNCTION("GOOGLETRANSLATE(B366,""en"",""it"")"),"Guadagni di oggi")</f>
        <v>Guadagni di oggi</v>
      </c>
      <c r="I366" s="4" t="str">
        <f>IFERROR(__xludf.DUMMYFUNCTION("GOOGLETRANSLATE(B366,""en"",""de"")"),"Heutige Einnahmen")</f>
        <v>Heutige Einnahmen</v>
      </c>
      <c r="J366" s="4" t="str">
        <f>IFERROR(__xludf.DUMMYFUNCTION("GOOGLETRANSLATE(B366,""en"",""ko"")"),"오늘의 수입")</f>
        <v>오늘의 수입</v>
      </c>
      <c r="K366" s="4" t="str">
        <f>IFERROR(__xludf.DUMMYFUNCTION("GOOGLETRANSLATE(B366,""en"",""zh"")"),"今日收益")</f>
        <v>今日收益</v>
      </c>
      <c r="L366" s="4" t="str">
        <f>IFERROR(__xludf.DUMMYFUNCTION("GOOGLETRANSLATE(B366,""en"",""es"")"),"Ganancias de hoy")</f>
        <v>Ganancias de hoy</v>
      </c>
      <c r="M366" s="4" t="str">
        <f>IFERROR(__xludf.DUMMYFUNCTION("GOOGLETRANSLATE(B366,""en"",""iw"")"),"היום רווחים")</f>
        <v>היום רווחים</v>
      </c>
      <c r="N366" s="4" t="str">
        <f>IFERROR(__xludf.DUMMYFUNCTION("GOOGLETRANSLATE(B366,""en"",""bn"")"),"আজকের আয়")</f>
        <v>আজকের আয়</v>
      </c>
      <c r="O366" s="4" t="str">
        <f>IFERROR(__xludf.DUMMYFUNCTION("GOOGLETRANSLATE(B366,""en"",""pt"")"),"Lucros de hoje")</f>
        <v>Lucros de hoje</v>
      </c>
    </row>
    <row r="367">
      <c r="A367" s="28" t="s">
        <v>953</v>
      </c>
      <c r="B367" s="29" t="s">
        <v>954</v>
      </c>
      <c r="C367" s="4" t="str">
        <f>IFERROR(__xludf.DUMMYFUNCTION("GOOGLETRANSLATE(B367,""en"",""hi"")"),"संपर्क जोड़ना")</f>
        <v>संपर्क जोड़ना</v>
      </c>
      <c r="D367" s="4" t="str">
        <f>IFERROR(__xludf.DUMMYFUNCTION("GOOGLETRANSLATE(B367,""en"",""ar"")"),"إضافة جهة اتصال")</f>
        <v>إضافة جهة اتصال</v>
      </c>
      <c r="E367" s="4" t="str">
        <f>IFERROR(__xludf.DUMMYFUNCTION("GOOGLETRANSLATE(B367,""en"",""fr"")"),"Ajouter un contact")</f>
        <v>Ajouter un contact</v>
      </c>
      <c r="F367" s="4" t="str">
        <f>IFERROR(__xludf.DUMMYFUNCTION("GOOGLETRANSLATE(B367,""en"",""tr"")"),"Bir Kişi Ekle")</f>
        <v>Bir Kişi Ekle</v>
      </c>
      <c r="G367" s="4" t="str">
        <f>IFERROR(__xludf.DUMMYFUNCTION("GOOGLETRANSLATE(B367,""en"",""ru"")"),"Добавить контакт")</f>
        <v>Добавить контакт</v>
      </c>
      <c r="H367" s="4" t="str">
        <f>IFERROR(__xludf.DUMMYFUNCTION("GOOGLETRANSLATE(B367,""en"",""it"")"),"Aggiungi un contatto")</f>
        <v>Aggiungi un contatto</v>
      </c>
      <c r="I367" s="4" t="str">
        <f>IFERROR(__xludf.DUMMYFUNCTION("GOOGLETRANSLATE(B367,""en"",""de"")"),"Einen Kontakt hinzufügen")</f>
        <v>Einen Kontakt hinzufügen</v>
      </c>
      <c r="J367" s="4" t="str">
        <f>IFERROR(__xludf.DUMMYFUNCTION("GOOGLETRANSLATE(B367,""en"",""ko"")"),"연락처 추가")</f>
        <v>연락처 추가</v>
      </c>
      <c r="K367" s="4" t="str">
        <f>IFERROR(__xludf.DUMMYFUNCTION("GOOGLETRANSLATE(B367,""en"",""zh"")"),"添加联系人")</f>
        <v>添加联系人</v>
      </c>
      <c r="L367" s="4" t="str">
        <f>IFERROR(__xludf.DUMMYFUNCTION("GOOGLETRANSLATE(B367,""en"",""es"")"),"Agregar un contacto")</f>
        <v>Agregar un contacto</v>
      </c>
      <c r="M367" s="4" t="str">
        <f>IFERROR(__xludf.DUMMYFUNCTION("GOOGLETRANSLATE(B367,""en"",""iw"")"),"הוסף איש קשר")</f>
        <v>הוסף איש קשר</v>
      </c>
      <c r="N367" s="4" t="str">
        <f>IFERROR(__xludf.DUMMYFUNCTION("GOOGLETRANSLATE(B367,""en"",""bn"")"),"একটি পরিচিতি যোগ করুন")</f>
        <v>একটি পরিচিতি যোগ করুন</v>
      </c>
      <c r="O367" s="4" t="str">
        <f>IFERROR(__xludf.DUMMYFUNCTION("GOOGLETRANSLATE(B367,""en"",""pt"")"),"Adicionar um contato")</f>
        <v>Adicionar um contato</v>
      </c>
    </row>
    <row r="368">
      <c r="A368" s="28" t="s">
        <v>955</v>
      </c>
      <c r="B368" s="29" t="s">
        <v>956</v>
      </c>
      <c r="C368" s="4" t="str">
        <f>IFERROR(__xludf.DUMMYFUNCTION("GOOGLETRANSLATE(B368,""en"",""hi"")"),"कनेक्शन का नाम जोड़ें")</f>
        <v>कनेक्शन का नाम जोड़ें</v>
      </c>
      <c r="D368" s="4" t="str">
        <f>IFERROR(__xludf.DUMMYFUNCTION("GOOGLETRANSLATE(B368,""en"",""ar"")"),"إضافة اسم الاتصال")</f>
        <v>إضافة اسم الاتصال</v>
      </c>
      <c r="E368" s="4" t="str">
        <f>IFERROR(__xludf.DUMMYFUNCTION("GOOGLETRANSLATE(B368,""en"",""fr"")"),"Ajouter un nom de connexion")</f>
        <v>Ajouter un nom de connexion</v>
      </c>
      <c r="F368" s="4" t="str">
        <f>IFERROR(__xludf.DUMMYFUNCTION("GOOGLETRANSLATE(B368,""en"",""tr"")"),"Bağlantı Adı Ekle")</f>
        <v>Bağlantı Adı Ekle</v>
      </c>
      <c r="G368" s="4" t="str">
        <f>IFERROR(__xludf.DUMMYFUNCTION("GOOGLETRANSLATE(B368,""en"",""ru"")"),"Добавить имя соединения")</f>
        <v>Добавить имя соединения</v>
      </c>
      <c r="H368" s="4" t="str">
        <f>IFERROR(__xludf.DUMMYFUNCTION("GOOGLETRANSLATE(B368,""en"",""it"")"),"Aggiungi nome connessione")</f>
        <v>Aggiungi nome connessione</v>
      </c>
      <c r="I368" s="4" t="str">
        <f>IFERROR(__xludf.DUMMYFUNCTION("GOOGLETRANSLATE(B368,""en"",""de"")"),"Verbindungsnamen hinzufügen")</f>
        <v>Verbindungsnamen hinzufügen</v>
      </c>
      <c r="J368" s="4" t="str">
        <f>IFERROR(__xludf.DUMMYFUNCTION("GOOGLETRANSLATE(B368,""en"",""ko"")"),"연결 이름 추가")</f>
        <v>연결 이름 추가</v>
      </c>
      <c r="K368" s="4" t="str">
        <f>IFERROR(__xludf.DUMMYFUNCTION("GOOGLETRANSLATE(B368,""en"",""zh"")"),"添加连接名称")</f>
        <v>添加连接名称</v>
      </c>
      <c r="L368" s="4" t="str">
        <f>IFERROR(__xludf.DUMMYFUNCTION("GOOGLETRANSLATE(B368,""en"",""es"")"),"Agregar nombre de conexión")</f>
        <v>Agregar nombre de conexión</v>
      </c>
      <c r="M368" s="4" t="str">
        <f>IFERROR(__xludf.DUMMYFUNCTION("GOOGLETRANSLATE(B368,""en"",""iw"")"),"הוסף שם חיבור")</f>
        <v>הוסף שם חיבור</v>
      </c>
      <c r="N368" s="4" t="str">
        <f>IFERROR(__xludf.DUMMYFUNCTION("GOOGLETRANSLATE(B368,""en"",""bn"")"),"সংযোগের নাম যোগ করুন")</f>
        <v>সংযোগের নাম যোগ করুন</v>
      </c>
      <c r="O368" s="4" t="str">
        <f>IFERROR(__xludf.DUMMYFUNCTION("GOOGLETRANSLATE(B368,""en"",""pt"")"),"Adicionar nome de conexão")</f>
        <v>Adicionar nome de conexão</v>
      </c>
    </row>
    <row r="369">
      <c r="A369" s="30" t="s">
        <v>957</v>
      </c>
      <c r="B369" s="22" t="s">
        <v>958</v>
      </c>
      <c r="C369" s="4" t="str">
        <f>IFERROR(__xludf.DUMMYFUNCTION("GOOGLETRANSLATE(B369,""en"",""hi"")"),"नाम दर्ज करें")</f>
        <v>नाम दर्ज करें</v>
      </c>
      <c r="D369" s="4" t="str">
        <f>IFERROR(__xludf.DUMMYFUNCTION("GOOGLETRANSLATE(B369,""en"",""ar"")"),"أدخل الاسم")</f>
        <v>أدخل الاسم</v>
      </c>
      <c r="E369" s="4" t="str">
        <f>IFERROR(__xludf.DUMMYFUNCTION("GOOGLETRANSLATE(B369,""en"",""fr"")"),"Entrez le nom")</f>
        <v>Entrez le nom</v>
      </c>
      <c r="F369" s="4" t="str">
        <f>IFERROR(__xludf.DUMMYFUNCTION("GOOGLETRANSLATE(B369,""en"",""tr"")"),"Adınızı Girin")</f>
        <v>Adınızı Girin</v>
      </c>
      <c r="G369" s="4" t="str">
        <f>IFERROR(__xludf.DUMMYFUNCTION("GOOGLETRANSLATE(B369,""en"",""ru"")"),"Введите имя")</f>
        <v>Введите имя</v>
      </c>
      <c r="H369" s="4" t="str">
        <f>IFERROR(__xludf.DUMMYFUNCTION("GOOGLETRANSLATE(B369,""en"",""it"")"),"Inserisci il nome")</f>
        <v>Inserisci il nome</v>
      </c>
      <c r="I369" s="4" t="str">
        <f>IFERROR(__xludf.DUMMYFUNCTION("GOOGLETRANSLATE(B369,""en"",""de"")"),"Geben Sie den Namen ein")</f>
        <v>Geben Sie den Namen ein</v>
      </c>
      <c r="J369" s="4" t="str">
        <f>IFERROR(__xludf.DUMMYFUNCTION("GOOGLETRANSLATE(B369,""en"",""ko"")"),"이름을 입력하세요")</f>
        <v>이름을 입력하세요</v>
      </c>
      <c r="K369" s="4" t="str">
        <f>IFERROR(__xludf.DUMMYFUNCTION("GOOGLETRANSLATE(B369,""en"",""zh"")"),"输入姓名")</f>
        <v>输入姓名</v>
      </c>
      <c r="L369" s="4" t="str">
        <f>IFERROR(__xludf.DUMMYFUNCTION("GOOGLETRANSLATE(B369,""en"",""es"")"),"Ingrese el nombre")</f>
        <v>Ingrese el nombre</v>
      </c>
      <c r="M369" s="4" t="str">
        <f>IFERROR(__xludf.DUMMYFUNCTION("GOOGLETRANSLATE(B369,""en"",""iw"")"),"הזן את השם")</f>
        <v>הזן את השם</v>
      </c>
      <c r="N369" s="4" t="str">
        <f>IFERROR(__xludf.DUMMYFUNCTION("GOOGLETRANSLATE(B369,""en"",""bn"")"),"নাম লিখুন")</f>
        <v>নাম লিখুন</v>
      </c>
      <c r="O369" s="4" t="str">
        <f>IFERROR(__xludf.DUMMYFUNCTION("GOOGLETRANSLATE(B369,""en"",""pt"")"),"Digite o nome")</f>
        <v>Digite o nome</v>
      </c>
    </row>
    <row r="370">
      <c r="A370" s="30" t="s">
        <v>959</v>
      </c>
      <c r="B370" s="22" t="s">
        <v>960</v>
      </c>
      <c r="C370" s="4" t="str">
        <f>IFERROR(__xludf.DUMMYFUNCTION("GOOGLETRANSLATE(B370,""en"",""hi"")"),"कनेक्शन नंबर जोड़ें")</f>
        <v>कनेक्शन नंबर जोड़ें</v>
      </c>
      <c r="D370" s="4" t="str">
        <f>IFERROR(__xludf.DUMMYFUNCTION("GOOGLETRANSLATE(B370,""en"",""ar"")"),"إضافة رقم الاتصال")</f>
        <v>إضافة رقم الاتصال</v>
      </c>
      <c r="E370" s="4" t="str">
        <f>IFERROR(__xludf.DUMMYFUNCTION("GOOGLETRANSLATE(B370,""en"",""fr"")"),"Ajouter un numéro de connexion")</f>
        <v>Ajouter un numéro de connexion</v>
      </c>
      <c r="F370" s="4" t="str">
        <f>IFERROR(__xludf.DUMMYFUNCTION("GOOGLETRANSLATE(B370,""en"",""tr"")"),"Bağlantı Numarası Ekle")</f>
        <v>Bağlantı Numarası Ekle</v>
      </c>
      <c r="G370" s="4" t="str">
        <f>IFERROR(__xludf.DUMMYFUNCTION("GOOGLETRANSLATE(B370,""en"",""ru"")"),"Добавить номер соединения")</f>
        <v>Добавить номер соединения</v>
      </c>
      <c r="H370" s="4" t="str">
        <f>IFERROR(__xludf.DUMMYFUNCTION("GOOGLETRANSLATE(B370,""en"",""it"")"),"Aggiungi numero di connessione")</f>
        <v>Aggiungi numero di connessione</v>
      </c>
      <c r="I370" s="4" t="str">
        <f>IFERROR(__xludf.DUMMYFUNCTION("GOOGLETRANSLATE(B370,""en"",""de"")"),"Verbindungsnummer hinzufügen")</f>
        <v>Verbindungsnummer hinzufügen</v>
      </c>
      <c r="J370" s="4" t="str">
        <f>IFERROR(__xludf.DUMMYFUNCTION("GOOGLETRANSLATE(B370,""en"",""ko"")"),"연결 번호 추가")</f>
        <v>연결 번호 추가</v>
      </c>
      <c r="K370" s="4" t="str">
        <f>IFERROR(__xludf.DUMMYFUNCTION("GOOGLETRANSLATE(B370,""en"",""zh"")"),"添加连接数")</f>
        <v>添加连接数</v>
      </c>
      <c r="L370" s="4" t="str">
        <f>IFERROR(__xludf.DUMMYFUNCTION("GOOGLETRANSLATE(B370,""en"",""es"")"),"Agregar número de conexión")</f>
        <v>Agregar número de conexión</v>
      </c>
      <c r="M370" s="4" t="str">
        <f>IFERROR(__xludf.DUMMYFUNCTION("GOOGLETRANSLATE(B370,""en"",""iw"")"),"הוסף מספר חיבור")</f>
        <v>הוסף מספר חיבור</v>
      </c>
      <c r="N370" s="4" t="str">
        <f>IFERROR(__xludf.DUMMYFUNCTION("GOOGLETRANSLATE(B370,""en"",""bn"")"),"সংযোগ নম্বর যোগ করুন")</f>
        <v>সংযোগ নম্বর যোগ করুন</v>
      </c>
      <c r="O370" s="4" t="str">
        <f>IFERROR(__xludf.DUMMYFUNCTION("GOOGLETRANSLATE(B370,""en"",""pt"")"),"Adicionar número de conexão")</f>
        <v>Adicionar número de conexão</v>
      </c>
    </row>
    <row r="371">
      <c r="A371" s="30" t="s">
        <v>961</v>
      </c>
      <c r="B371" s="31" t="s">
        <v>962</v>
      </c>
      <c r="C371" s="4" t="str">
        <f>IFERROR(__xludf.DUMMYFUNCTION("GOOGLETRANSLATE(B371,""en"",""hi"")"),"फ़ोन नंबर दर्ज करें")</f>
        <v>फ़ोन नंबर दर्ज करें</v>
      </c>
      <c r="D371" s="4" t="str">
        <f>IFERROR(__xludf.DUMMYFUNCTION("GOOGLETRANSLATE(B371,""en"",""ar"")"),"أدخل رقم الهاتف")</f>
        <v>أدخل رقم الهاتف</v>
      </c>
      <c r="E371" s="4" t="str">
        <f>IFERROR(__xludf.DUMMYFUNCTION("GOOGLETRANSLATE(B371,""en"",""fr"")"),"Entrez le numéro de téléphone")</f>
        <v>Entrez le numéro de téléphone</v>
      </c>
      <c r="F371" s="4" t="str">
        <f>IFERROR(__xludf.DUMMYFUNCTION("GOOGLETRANSLATE(B371,""en"",""tr"")"),"Telefon Numarasını Girin")</f>
        <v>Telefon Numarasını Girin</v>
      </c>
      <c r="G371" s="4" t="str">
        <f>IFERROR(__xludf.DUMMYFUNCTION("GOOGLETRANSLATE(B371,""en"",""ru"")"),"Введите номер телефона")</f>
        <v>Введите номер телефона</v>
      </c>
      <c r="H371" s="4" t="str">
        <f>IFERROR(__xludf.DUMMYFUNCTION("GOOGLETRANSLATE(B371,""en"",""it"")"),"Inserisci il numero di telefono")</f>
        <v>Inserisci il numero di telefono</v>
      </c>
      <c r="I371" s="4" t="str">
        <f>IFERROR(__xludf.DUMMYFUNCTION("GOOGLETRANSLATE(B371,""en"",""de"")"),"Geben Sie die Telefonnummer ein")</f>
        <v>Geben Sie die Telefonnummer ein</v>
      </c>
      <c r="J371" s="4" t="str">
        <f>IFERROR(__xludf.DUMMYFUNCTION("GOOGLETRANSLATE(B371,""en"",""ko"")"),"전화번호를 입력하세요")</f>
        <v>전화번호를 입력하세요</v>
      </c>
      <c r="K371" s="4" t="str">
        <f>IFERROR(__xludf.DUMMYFUNCTION("GOOGLETRANSLATE(B371,""en"",""zh"")"),"输入电话号码")</f>
        <v>输入电话号码</v>
      </c>
      <c r="L371" s="4" t="str">
        <f>IFERROR(__xludf.DUMMYFUNCTION("GOOGLETRANSLATE(B371,""en"",""es"")"),"Ingrese el número de teléfono")</f>
        <v>Ingrese el número de teléfono</v>
      </c>
      <c r="M371" s="4" t="str">
        <f>IFERROR(__xludf.DUMMYFUNCTION("GOOGLETRANSLATE(B371,""en"",""iw"")"),"הזן את מספר הטלפון")</f>
        <v>הזן את מספר הטלפון</v>
      </c>
      <c r="N371" s="4" t="str">
        <f>IFERROR(__xludf.DUMMYFUNCTION("GOOGLETRANSLATE(B371,""en"",""bn"")"),"ফোন নম্বর লিখুন")</f>
        <v>ফোন নম্বর লিখুন</v>
      </c>
      <c r="O371" s="4" t="str">
        <f>IFERROR(__xludf.DUMMYFUNCTION("GOOGLETRANSLATE(B371,""en"",""pt"")"),"Digite o número de telefone")</f>
        <v>Digite o número de telefone</v>
      </c>
    </row>
    <row r="372">
      <c r="A372" s="30" t="s">
        <v>963</v>
      </c>
      <c r="B372" s="31" t="s">
        <v>964</v>
      </c>
      <c r="C372" s="4" t="str">
        <f>IFERROR(__xludf.DUMMYFUNCTION("GOOGLETRANSLATE(B372,""en"",""hi"")"),"मदद")</f>
        <v>मदद</v>
      </c>
      <c r="D372" s="4" t="str">
        <f>IFERROR(__xludf.DUMMYFUNCTION("GOOGLETRANSLATE(B372,""en"",""ar"")"),"يساعد")</f>
        <v>يساعد</v>
      </c>
      <c r="E372" s="4" t="str">
        <f>IFERROR(__xludf.DUMMYFUNCTION("GOOGLETRANSLATE(B372,""en"",""fr"")"),"Aide")</f>
        <v>Aide</v>
      </c>
      <c r="F372" s="4" t="str">
        <f>IFERROR(__xludf.DUMMYFUNCTION("GOOGLETRANSLATE(B372,""en"",""tr"")"),"Yardım")</f>
        <v>Yardım</v>
      </c>
      <c r="G372" s="4" t="str">
        <f>IFERROR(__xludf.DUMMYFUNCTION("GOOGLETRANSLATE(B372,""en"",""ru"")"),"Помощь")</f>
        <v>Помощь</v>
      </c>
      <c r="H372" s="4" t="str">
        <f>IFERROR(__xludf.DUMMYFUNCTION("GOOGLETRANSLATE(B372,""en"",""it"")"),"Aiuto")</f>
        <v>Aiuto</v>
      </c>
      <c r="I372" s="4" t="str">
        <f>IFERROR(__xludf.DUMMYFUNCTION("GOOGLETRANSLATE(B372,""en"",""de"")"),"Helfen")</f>
        <v>Helfen</v>
      </c>
      <c r="J372" s="4" t="str">
        <f>IFERROR(__xludf.DUMMYFUNCTION("GOOGLETRANSLATE(B372,""en"",""ko"")"),"돕다")</f>
        <v>돕다</v>
      </c>
      <c r="K372" s="4" t="str">
        <f>IFERROR(__xludf.DUMMYFUNCTION("GOOGLETRANSLATE(B372,""en"",""zh"")"),"帮助")</f>
        <v>帮助</v>
      </c>
      <c r="L372" s="4" t="str">
        <f>IFERROR(__xludf.DUMMYFUNCTION("GOOGLETRANSLATE(B372,""en"",""es"")"),"Ayuda")</f>
        <v>Ayuda</v>
      </c>
      <c r="M372" s="4" t="str">
        <f>IFERROR(__xludf.DUMMYFUNCTION("GOOGLETRANSLATE(B372,""en"",""iw"")"),"עֶזרָה")</f>
        <v>עֶזרָה</v>
      </c>
      <c r="N372" s="4" t="str">
        <f>IFERROR(__xludf.DUMMYFUNCTION("GOOGLETRANSLATE(B372,""en"",""bn"")"),"সাহায্য")</f>
        <v>সাহায্য</v>
      </c>
      <c r="O372" s="4" t="str">
        <f>IFERROR(__xludf.DUMMYFUNCTION("GOOGLETRANSLATE(B372,""en"",""pt"")"),"Ajuda")</f>
        <v>Ajuda</v>
      </c>
    </row>
    <row r="373">
      <c r="A373" s="30" t="s">
        <v>965</v>
      </c>
      <c r="B373" s="22" t="s">
        <v>966</v>
      </c>
      <c r="C373" s="4" t="str">
        <f>IFERROR(__xludf.DUMMYFUNCTION("GOOGLETRANSLATE(B373,""en"",""hi"")"),"आप हमसे संपर्क कर सकते हैं")</f>
        <v>आप हमसे संपर्क कर सकते हैं</v>
      </c>
      <c r="D373" s="4" t="str">
        <f>IFERROR(__xludf.DUMMYFUNCTION("GOOGLETRANSLATE(B373,""en"",""ar"")"),"يمكنك الاتصال بنا")</f>
        <v>يمكنك الاتصال بنا</v>
      </c>
      <c r="E373" s="4" t="str">
        <f>IFERROR(__xludf.DUMMYFUNCTION("GOOGLETRANSLATE(B373,""en"",""fr"")"),"Vous pouvez nous contacter")</f>
        <v>Vous pouvez nous contacter</v>
      </c>
      <c r="F373" s="4" t="str">
        <f>IFERROR(__xludf.DUMMYFUNCTION("GOOGLETRANSLATE(B373,""en"",""tr"")"),"Bizimle İletişime Geçebilirsiniz")</f>
        <v>Bizimle İletişime Geçebilirsiniz</v>
      </c>
      <c r="G373" s="4" t="str">
        <f>IFERROR(__xludf.DUMMYFUNCTION("GOOGLETRANSLATE(B373,""en"",""ru"")"),"Вы можете связаться с нами")</f>
        <v>Вы можете связаться с нами</v>
      </c>
      <c r="H373" s="4" t="str">
        <f>IFERROR(__xludf.DUMMYFUNCTION("GOOGLETRANSLATE(B373,""en"",""it"")"),"Puoi contattarci")</f>
        <v>Puoi contattarci</v>
      </c>
      <c r="I373" s="4" t="str">
        <f>IFERROR(__xludf.DUMMYFUNCTION("GOOGLETRANSLATE(B373,""en"",""de"")"),"Sie können uns kontaktieren")</f>
        <v>Sie können uns kontaktieren</v>
      </c>
      <c r="J373" s="4" t="str">
        <f>IFERROR(__xludf.DUMMYFUNCTION("GOOGLETRANSLATE(B373,""en"",""ko"")"),"저희에게 연락하세요")</f>
        <v>저희에게 연락하세요</v>
      </c>
      <c r="K373" s="4" t="str">
        <f>IFERROR(__xludf.DUMMYFUNCTION("GOOGLETRANSLATE(B373,""en"",""zh"")"),"您可以联系我们")</f>
        <v>您可以联系我们</v>
      </c>
      <c r="L373" s="4" t="str">
        <f>IFERROR(__xludf.DUMMYFUNCTION("GOOGLETRANSLATE(B373,""en"",""es"")"),"Puedes contactarnos")</f>
        <v>Puedes contactarnos</v>
      </c>
      <c r="M373" s="4" t="str">
        <f>IFERROR(__xludf.DUMMYFUNCTION("GOOGLETRANSLATE(B373,""en"",""iw"")"),"אתה יכול לפנות אלינו")</f>
        <v>אתה יכול לפנות אלינו</v>
      </c>
      <c r="N373" s="4" t="str">
        <f>IFERROR(__xludf.DUMMYFUNCTION("GOOGLETRANSLATE(B373,""en"",""bn"")"),"আপনি আমাদের সাথে যোগাযোগ করতে পারেন")</f>
        <v>আপনি আমাদের সাথে যোগাযোগ করতে পারেন</v>
      </c>
      <c r="O373" s="4" t="str">
        <f>IFERROR(__xludf.DUMMYFUNCTION("GOOGLETRANSLATE(B373,""en"",""pt"")"),"Você pode entrar em contato conosco")</f>
        <v>Você pode entrar em contato conosco</v>
      </c>
    </row>
    <row r="374">
      <c r="A374" s="30" t="s">
        <v>967</v>
      </c>
      <c r="B374" s="31" t="s">
        <v>968</v>
      </c>
      <c r="C374" s="4" t="str">
        <f>IFERROR(__xludf.DUMMYFUNCTION("GOOGLETRANSLATE(B374,""en"",""hi"")"),"आपका मोबाइल नंबर क्या हे ?")</f>
        <v>आपका मोबाइल नंबर क्या हे ?</v>
      </c>
      <c r="D374" s="4" t="str">
        <f>IFERROR(__xludf.DUMMYFUNCTION("GOOGLETRANSLATE(B374,""en"",""ar"")"),"ما هو رقم هاتفك المحمول؟")</f>
        <v>ما هو رقم هاتفك المحمول؟</v>
      </c>
      <c r="E374" s="4" t="str">
        <f>IFERROR(__xludf.DUMMYFUNCTION("GOOGLETRANSLATE(B374,""en"",""fr"")"),"Quel est ton numéro de portable ?")</f>
        <v>Quel est ton numéro de portable ?</v>
      </c>
      <c r="F374" s="4" t="str">
        <f>IFERROR(__xludf.DUMMYFUNCTION("GOOGLETRANSLATE(B374,""en"",""tr"")"),"Cep telefonu numaranız nedir?")</f>
        <v>Cep telefonu numaranız nedir?</v>
      </c>
      <c r="G374" s="4" t="str">
        <f>IFERROR(__xludf.DUMMYFUNCTION("GOOGLETRANSLATE(B374,""en"",""ru"")"),"Какой у вас номер мобильного телефона?")</f>
        <v>Какой у вас номер мобильного телефона?</v>
      </c>
      <c r="H374" s="4" t="str">
        <f>IFERROR(__xludf.DUMMYFUNCTION("GOOGLETRANSLATE(B374,""en"",""it"")"),"Qual è il tuo numero di cellulare?")</f>
        <v>Qual è il tuo numero di cellulare?</v>
      </c>
      <c r="I374" s="4" t="str">
        <f>IFERROR(__xludf.DUMMYFUNCTION("GOOGLETRANSLATE(B374,""en"",""de"")"),"Wie lautet Ihre Handynummer?")</f>
        <v>Wie lautet Ihre Handynummer?</v>
      </c>
      <c r="J374" s="4" t="str">
        <f>IFERROR(__xludf.DUMMYFUNCTION("GOOGLETRANSLATE(B374,""en"",""ko"")"),"당신의 휴대전화 번호는 무엇입니까?")</f>
        <v>당신의 휴대전화 번호는 무엇입니까?</v>
      </c>
      <c r="K374" s="4" t="str">
        <f>IFERROR(__xludf.DUMMYFUNCTION("GOOGLETRANSLATE(B374,""en"",""zh"")"),"您的手机号码是多少？")</f>
        <v>您的手机号码是多少？</v>
      </c>
      <c r="L374" s="4" t="str">
        <f>IFERROR(__xludf.DUMMYFUNCTION("GOOGLETRANSLATE(B374,""en"",""es"")"),"¿Cual es tu número de móvil?")</f>
        <v>¿Cual es tu número de móvil?</v>
      </c>
      <c r="M374" s="4" t="str">
        <f>IFERROR(__xludf.DUMMYFUNCTION("GOOGLETRANSLATE(B374,""en"",""iw"")"),"מה מספר הנייד שלך?")</f>
        <v>מה מספר הנייד שלך?</v>
      </c>
      <c r="N374" s="4" t="str">
        <f>IFERROR(__xludf.DUMMYFUNCTION("GOOGLETRANSLATE(B374,""en"",""bn"")"),"আপনার মোবাইল নম্বর কি?")</f>
        <v>আপনার মোবাইল নম্বর কি?</v>
      </c>
      <c r="O374" s="4" t="str">
        <f>IFERROR(__xludf.DUMMYFUNCTION("GOOGLETRANSLATE(B374,""en"",""pt"")"),"Qual é o seu número de celular?")</f>
        <v>Qual é o seu número de celular?</v>
      </c>
    </row>
    <row r="375">
      <c r="A375" s="32" t="s">
        <v>969</v>
      </c>
      <c r="B375" s="31" t="s">
        <v>970</v>
      </c>
      <c r="C375" s="4" t="str">
        <f>IFERROR(__xludf.DUMMYFUNCTION("GOOGLETRANSLATE(B375,""en"",""hi"")"),"आपको सत्यापन के लिए एक एसएमएस मिलेगा")</f>
        <v>आपको सत्यापन के लिए एक एसएमएस मिलेगा</v>
      </c>
      <c r="D375" s="4" t="str">
        <f>IFERROR(__xludf.DUMMYFUNCTION("GOOGLETRANSLATE(B375,""en"",""ar"")"),"سوف تحصل على رسالة نصية للتحقق")</f>
        <v>سوف تحصل على رسالة نصية للتحقق</v>
      </c>
      <c r="E375" s="4" t="str">
        <f>IFERROR(__xludf.DUMMYFUNCTION("GOOGLETRANSLATE(B375,""en"",""fr"")"),"Vous recevrez un SMS de vérification")</f>
        <v>Vous recevrez un SMS de vérification</v>
      </c>
      <c r="F375" s="4" t="str">
        <f>IFERROR(__xludf.DUMMYFUNCTION("GOOGLETRANSLATE(B375,""en"",""tr"")"),"Doğrulama için bir SMS alacaksınız")</f>
        <v>Doğrulama için bir SMS alacaksınız</v>
      </c>
      <c r="G375" s="4" t="str">
        <f>IFERROR(__xludf.DUMMYFUNCTION("GOOGLETRANSLATE(B375,""en"",""ru"")"),"Вам придет смс для проверки")</f>
        <v>Вам придет смс для проверки</v>
      </c>
      <c r="H375" s="4" t="str">
        <f>IFERROR(__xludf.DUMMYFUNCTION("GOOGLETRANSLATE(B375,""en"",""it"")"),"Riceverai un SMS per la verifica")</f>
        <v>Riceverai un SMS per la verifica</v>
      </c>
      <c r="I375" s="4" t="str">
        <f>IFERROR(__xludf.DUMMYFUNCTION("GOOGLETRANSLATE(B375,""en"",""de"")"),"Sie erhalten eine SMS zur Verifizierung")</f>
        <v>Sie erhalten eine SMS zur Verifizierung</v>
      </c>
      <c r="J375" s="4" t="str">
        <f>IFERROR(__xludf.DUMMYFUNCTION("GOOGLETRANSLATE(B375,""en"",""ko"")"),"확인을 위해 SMS를 받게 됩니다.")</f>
        <v>확인을 위해 SMS를 받게 됩니다.</v>
      </c>
      <c r="K375" s="4" t="str">
        <f>IFERROR(__xludf.DUMMYFUNCTION("GOOGLETRANSLATE(B375,""en"",""zh"")"),"您将收到一条验证短信")</f>
        <v>您将收到一条验证短信</v>
      </c>
      <c r="L375" s="4" t="str">
        <f>IFERROR(__xludf.DUMMYFUNCTION("GOOGLETRANSLATE(B375,""en"",""es"")"),"Recibirás un SMS para la verificación.")</f>
        <v>Recibirás un SMS para la verificación.</v>
      </c>
      <c r="M375" s="4" t="str">
        <f>IFERROR(__xludf.DUMMYFUNCTION("GOOGLETRANSLATE(B375,""en"",""iw"")"),"תקבל הודעת SMS לאימות")</f>
        <v>תקבל הודעת SMS לאימות</v>
      </c>
      <c r="N375" s="4" t="str">
        <f>IFERROR(__xludf.DUMMYFUNCTION("GOOGLETRANSLATE(B375,""en"",""bn"")"),"আপনি ভেরিফিকেশনের জন্য একটি এসএমএস পাবেন")</f>
        <v>আপনি ভেরিফিকেশনের জন্য একটি এসএমএস পাবেন</v>
      </c>
      <c r="O375" s="4" t="str">
        <f>IFERROR(__xludf.DUMMYFUNCTION("GOOGLETRANSLATE(B375,""en"",""pt"")"),"Você receberá um SMS para verificação")</f>
        <v>Você receberá um SMS para verificação</v>
      </c>
    </row>
    <row r="376">
      <c r="A376" s="30" t="s">
        <v>971</v>
      </c>
      <c r="B376" s="31" t="s">
        <v>972</v>
      </c>
      <c r="C376" s="4" t="str">
        <f>IFERROR(__xludf.DUMMYFUNCTION("GOOGLETRANSLATE(B376,""en"",""hi"")"),"आपको भेजा गया OTP नंबर दर्ज करें")</f>
        <v>आपको भेजा गया OTP नंबर दर्ज करें</v>
      </c>
      <c r="D376" s="4" t="str">
        <f>IFERROR(__xludf.DUMMYFUNCTION("GOOGLETRANSLATE(B376,""en"",""ar"")"),"أدخل رقم OTP المرسل إليك على")</f>
        <v>أدخل رقم OTP المرسل إليك على</v>
      </c>
      <c r="E376" s="4" t="str">
        <f>IFERROR(__xludf.DUMMYFUNCTION("GOOGLETRANSLATE(B376,""en"",""fr"")"),"Saisissez le numéro OTP qui vous a été envoyé à")</f>
        <v>Saisissez le numéro OTP qui vous a été envoyé à</v>
      </c>
      <c r="F376" s="4" t="str">
        <f>IFERROR(__xludf.DUMMYFUNCTION("GOOGLETRANSLATE(B376,""en"",""tr"")"),"Size gönderilen OTP numarasını girin")</f>
        <v>Size gönderilen OTP numarasını girin</v>
      </c>
      <c r="G376" s="4" t="str">
        <f>IFERROR(__xludf.DUMMYFUNCTION("GOOGLETRANSLATE(B376,""en"",""ru"")"),"Введите номер одноразового пароля, отправленный вам на адрес")</f>
        <v>Введите номер одноразового пароля, отправленный вам на адрес</v>
      </c>
      <c r="H376" s="4" t="str">
        <f>IFERROR(__xludf.DUMMYFUNCTION("GOOGLETRANSLATE(B376,""en"",""it"")"),"Inserisci il numero OTP che ti è stato inviato a")</f>
        <v>Inserisci il numero OTP che ti è stato inviato a</v>
      </c>
      <c r="I376" s="4" t="str">
        <f>IFERROR(__xludf.DUMMYFUNCTION("GOOGLETRANSLATE(B376,""en"",""de"")"),"Geben Sie die OTP-Nummer ein, die Ihnen zugesandt wurde an")</f>
        <v>Geben Sie die OTP-Nummer ein, die Ihnen zugesandt wurde an</v>
      </c>
      <c r="J376" s="4" t="str">
        <f>IFERROR(__xludf.DUMMYFUNCTION("GOOGLETRANSLATE(B376,""en"",""ko"")"),"귀하에게 전송된 OTP 번호를 입력하세요")</f>
        <v>귀하에게 전송된 OTP 번호를 입력하세요</v>
      </c>
      <c r="K376" s="4" t="str">
        <f>IFERROR(__xludf.DUMMYFUNCTION("GOOGLETRANSLATE(B376,""en"",""zh"")"),"输入发送给您的 OTP 号码")</f>
        <v>输入发送给您的 OTP 号码</v>
      </c>
      <c r="L376" s="4" t="str">
        <f>IFERROR(__xludf.DUMMYFUNCTION("GOOGLETRANSLATE(B376,""en"",""es"")"),"Ingrese el número OTP que le enviamos a")</f>
        <v>Ingrese el número OTP que le enviamos a</v>
      </c>
      <c r="M376" s="4" t="str">
        <f>IFERROR(__xludf.DUMMYFUNCTION("GOOGLETRANSLATE(B376,""en"",""iw"")"),"הזן את מספר ה-OTP שנשלח אליך בכתובת")</f>
        <v>הזן את מספר ה-OTP שנשלח אליך בכתובת</v>
      </c>
      <c r="N376" s="4" t="str">
        <f>IFERROR(__xludf.DUMMYFUNCTION("GOOGLETRANSLATE(B376,""en"",""bn"")"),"আপনার কাছে পাঠানো OTP নম্বরটি লিখুন")</f>
        <v>আপনার কাছে পাঠানো OTP নম্বরটি লিখুন</v>
      </c>
      <c r="O376" s="4" t="str">
        <f>IFERROR(__xludf.DUMMYFUNCTION("GOOGLETRANSLATE(B376,""en"",""pt"")"),"Digite o número OTP enviado a você em")</f>
        <v>Digite o número OTP enviado a você em</v>
      </c>
    </row>
    <row r="377">
      <c r="A377" s="30" t="s">
        <v>973</v>
      </c>
      <c r="B377" s="31" t="s">
        <v>974</v>
      </c>
      <c r="C377" s="4" t="str">
        <f>IFERROR(__xludf.DUMMYFUNCTION("GOOGLETRANSLATE(B377,""en"",""hi"")"),"तुम्हारा नाम क्या है?")</f>
        <v>तुम्हारा नाम क्या है?</v>
      </c>
      <c r="D377" s="4" t="str">
        <f>IFERROR(__xludf.DUMMYFUNCTION("GOOGLETRANSLATE(B377,""en"",""ar"")"),"ما اسمك؟")</f>
        <v>ما اسمك؟</v>
      </c>
      <c r="E377" s="4" t="str">
        <f>IFERROR(__xludf.DUMMYFUNCTION("GOOGLETRANSLATE(B377,""en"",""fr"")"),"quel est ton nom?")</f>
        <v>quel est ton nom?</v>
      </c>
      <c r="F377" s="4" t="str">
        <f>IFERROR(__xludf.DUMMYFUNCTION("GOOGLETRANSLATE(B377,""en"",""tr"")"),"adınız ne?")</f>
        <v>adınız ne?</v>
      </c>
      <c r="G377" s="4" t="str">
        <f>IFERROR(__xludf.DUMMYFUNCTION("GOOGLETRANSLATE(B377,""en"",""ru"")"),"как тебя зовут?")</f>
        <v>как тебя зовут?</v>
      </c>
      <c r="H377" s="4" t="str">
        <f>IFERROR(__xludf.DUMMYFUNCTION("GOOGLETRANSLATE(B377,""en"",""it"")"),"come ti chiami?")</f>
        <v>come ti chiami?</v>
      </c>
      <c r="I377" s="4" t="str">
        <f>IFERROR(__xludf.DUMMYFUNCTION("GOOGLETRANSLATE(B377,""en"",""de"")"),"Wie heißen Sie?")</f>
        <v>Wie heißen Sie?</v>
      </c>
      <c r="J377" s="4" t="str">
        <f>IFERROR(__xludf.DUMMYFUNCTION("GOOGLETRANSLATE(B377,""en"",""ko"")"),"이름이 뭐에요?")</f>
        <v>이름이 뭐에요?</v>
      </c>
      <c r="K377" s="4" t="str">
        <f>IFERROR(__xludf.DUMMYFUNCTION("GOOGLETRANSLATE(B377,""en"",""zh"")"),"你叫什么名字？")</f>
        <v>你叫什么名字？</v>
      </c>
      <c r="L377" s="4" t="str">
        <f>IFERROR(__xludf.DUMMYFUNCTION("GOOGLETRANSLATE(B377,""en"",""es"")"),"¿cómo te llamas?")</f>
        <v>¿cómo te llamas?</v>
      </c>
      <c r="M377" s="4" t="str">
        <f>IFERROR(__xludf.DUMMYFUNCTION("GOOGLETRANSLATE(B377,""en"",""iw"")"),"מה שמך")</f>
        <v>מה שמך</v>
      </c>
      <c r="N377" s="4" t="str">
        <f>IFERROR(__xludf.DUMMYFUNCTION("GOOGLETRANSLATE(B377,""en"",""bn"")"),"তোমার নাম কি?")</f>
        <v>তোমার নাম কি?</v>
      </c>
      <c r="O377" s="4" t="str">
        <f>IFERROR(__xludf.DUMMYFUNCTION("GOOGLETRANSLATE(B377,""en"",""pt"")"),"qual o seu nome?")</f>
        <v>qual o seu nome?</v>
      </c>
    </row>
    <row r="378">
      <c r="A378" s="33" t="s">
        <v>975</v>
      </c>
      <c r="B378" s="34" t="s">
        <v>976</v>
      </c>
      <c r="C378" s="4" t="str">
        <f>IFERROR(__xludf.DUMMYFUNCTION("GOOGLETRANSLATE(B378,""en"",""hi"")"),"हमें बताएं कि हम संभवतः आपको कैसे संबोधित कर सकते हैं")</f>
        <v>हमें बताएं कि हम संभवतः आपको कैसे संबोधित कर सकते हैं</v>
      </c>
      <c r="D378" s="4" t="str">
        <f>IFERROR(__xludf.DUMMYFUNCTION("GOOGLETRANSLATE(B378,""en"",""ar"")"),"أخبرنا كيف يمكننا أن نعرف عنوانك المحتمل")</f>
        <v>أخبرنا كيف يمكننا أن نعرف عنوانك المحتمل</v>
      </c>
      <c r="E378" s="4" t="str">
        <f>IFERROR(__xludf.DUMMYFUNCTION("GOOGLETRANSLATE(B378,""en"",""fr"")"),"Dites-nous comment nous savons probablement comment nous vous adresserons")</f>
        <v>Dites-nous comment nous savons probablement comment nous vous adresserons</v>
      </c>
      <c r="F378" s="4" t="str">
        <f>IFERROR(__xludf.DUMMYFUNCTION("GOOGLETRANSLATE(B378,""en"",""tr"")"),"Muhtemelen size nasıl hitap edeceğimizi bize bildirin")</f>
        <v>Muhtemelen size nasıl hitap edeceğimizi bize bildirin</v>
      </c>
      <c r="G378" s="4" t="str">
        <f>IFERROR(__xludf.DUMMYFUNCTION("GOOGLETRANSLATE(B378,""en"",""ru"")"),"Дайте нам знать, как мы узнаем, что вы, скорее всего, обратились к нам")</f>
        <v>Дайте нам знать, как мы узнаем, что вы, скорее всего, обратились к нам</v>
      </c>
      <c r="H378" s="4" t="str">
        <f>IFERROR(__xludf.DUMMYFUNCTION("GOOGLETRANSLATE(B378,""en"",""it"")"),"Facci sapere come sappiamo che probabilmente ti rivolgiamo")</f>
        <v>Facci sapere come sappiamo che probabilmente ti rivolgiamo</v>
      </c>
      <c r="I378" s="4" t="str">
        <f>IFERROR(__xludf.DUMMYFUNCTION("GOOGLETRANSLATE(B378,""en"",""de"")"),"Teilen Sie uns mit, wie wir Sie wahrscheinlich ansprechen können")</f>
        <v>Teilen Sie uns mit, wie wir Sie wahrscheinlich ansprechen können</v>
      </c>
      <c r="J378" s="4" t="str">
        <f>IFERROR(__xludf.DUMMYFUNCTION("GOOGLETRANSLATE(B378,""en"",""ko"")"),"우리가 당신을 어떻게 알고 있는지 알려주세요")</f>
        <v>우리가 당신을 어떻게 알고 있는지 알려주세요</v>
      </c>
      <c r="K378" s="4" t="str">
        <f>IFERROR(__xludf.DUMMYFUNCTION("GOOGLETRANSLATE(B378,""en"",""zh"")"),"请告诉我们如何知道可能与您联系")</f>
        <v>请告诉我们如何知道可能与您联系</v>
      </c>
      <c r="L378" s="4" t="str">
        <f>IFERROR(__xludf.DUMMYFUNCTION("GOOGLETRANSLATE(B378,""en"",""es"")"),"Déjanos saber cómo sabemos que probablemente te dirijamos a ti.")</f>
        <v>Déjanos saber cómo sabemos que probablemente te dirijamos a ti.</v>
      </c>
      <c r="M378" s="4" t="str">
        <f>IFERROR(__xludf.DUMMYFUNCTION("GOOGLETRANSLATE(B378,""en"",""iw"")"),"ספר לנו איך אנחנו יודעים כנראה לפנות אליך")</f>
        <v>ספר לנו איך אנחנו יודעים כנראה לפנות אליך</v>
      </c>
      <c r="N378" s="4" t="str">
        <f>IFERROR(__xludf.DUMMYFUNCTION("GOOGLETRANSLATE(B378,""en"",""bn"")"),"আমাদের জানান কিভাবে আমরা জানি সম্ভবত আপনি সম্বোধন")</f>
        <v>আমাদের জানান কিভাবে আমরা জানি সম্ভবত আপনি সম্বোধন</v>
      </c>
      <c r="O378" s="4" t="str">
        <f>IFERROR(__xludf.DUMMYFUNCTION("GOOGLETRANSLATE(B378,""en"",""pt"")"),"Deixe-nos saber como provavelmente iremos abordar você")</f>
        <v>Deixe-nos saber como provavelmente iremos abordar você</v>
      </c>
    </row>
    <row r="379">
      <c r="A379" s="7" t="s">
        <v>977</v>
      </c>
      <c r="B379" s="34" t="s">
        <v>978</v>
      </c>
      <c r="C379" s="4" t="str">
        <f>IFERROR(__xludf.DUMMYFUNCTION("GOOGLETRANSLATE(B379,""en"",""hi"")"),"प्रथम नाम दर्ज करें")</f>
        <v>प्रथम नाम दर्ज करें</v>
      </c>
      <c r="D379" s="4" t="str">
        <f>IFERROR(__xludf.DUMMYFUNCTION("GOOGLETRANSLATE(B379,""en"",""ar"")"),"أدخل الاسم الأول")</f>
        <v>أدخل الاسم الأول</v>
      </c>
      <c r="E379" s="4" t="str">
        <f>IFERROR(__xludf.DUMMYFUNCTION("GOOGLETRANSLATE(B379,""en"",""fr"")"),"Entrez le prénom")</f>
        <v>Entrez le prénom</v>
      </c>
      <c r="F379" s="4" t="str">
        <f>IFERROR(__xludf.DUMMYFUNCTION("GOOGLETRANSLATE(B379,""en"",""tr"")"),"Adınızı Girin")</f>
        <v>Adınızı Girin</v>
      </c>
      <c r="G379" s="4" t="str">
        <f>IFERROR(__xludf.DUMMYFUNCTION("GOOGLETRANSLATE(B379,""en"",""ru"")"),"Введите имя")</f>
        <v>Введите имя</v>
      </c>
      <c r="H379" s="4" t="str">
        <f>IFERROR(__xludf.DUMMYFUNCTION("GOOGLETRANSLATE(B379,""en"",""it"")"),"Inserisci il nome")</f>
        <v>Inserisci il nome</v>
      </c>
      <c r="I379" s="4" t="str">
        <f>IFERROR(__xludf.DUMMYFUNCTION("GOOGLETRANSLATE(B379,""en"",""de"")"),"Vorname eingeben")</f>
        <v>Vorname eingeben</v>
      </c>
      <c r="J379" s="4" t="str">
        <f>IFERROR(__xludf.DUMMYFUNCTION("GOOGLETRANSLATE(B379,""en"",""ko"")"),"이름을 입력하세요")</f>
        <v>이름을 입력하세요</v>
      </c>
      <c r="K379" s="4" t="str">
        <f>IFERROR(__xludf.DUMMYFUNCTION("GOOGLETRANSLATE(B379,""en"",""zh"")"),"输入名字")</f>
        <v>输入名字</v>
      </c>
      <c r="L379" s="4" t="str">
        <f>IFERROR(__xludf.DUMMYFUNCTION("GOOGLETRANSLATE(B379,""en"",""es"")"),"Ingrese el nombre")</f>
        <v>Ingrese el nombre</v>
      </c>
      <c r="M379" s="4" t="str">
        <f>IFERROR(__xludf.DUMMYFUNCTION("GOOGLETRANSLATE(B379,""en"",""iw"")"),"הזן שם פרטי")</f>
        <v>הזן שם פרטי</v>
      </c>
      <c r="N379" s="4" t="str">
        <f>IFERROR(__xludf.DUMMYFUNCTION("GOOGLETRANSLATE(B379,""en"",""bn"")"),"প্রথম নাম লিখুন")</f>
        <v>প্রথম নাম লিখুন</v>
      </c>
      <c r="O379" s="4" t="str">
        <f>IFERROR(__xludf.DUMMYFUNCTION("GOOGLETRANSLATE(B379,""en"",""pt"")"),"Digite o primeiro nome")</f>
        <v>Digite o primeiro nome</v>
      </c>
    </row>
    <row r="380">
      <c r="A380" s="35" t="s">
        <v>979</v>
      </c>
      <c r="B380" s="34" t="s">
        <v>980</v>
      </c>
      <c r="C380" s="4" t="str">
        <f>IFERROR(__xludf.DUMMYFUNCTION("GOOGLETRANSLATE(B380,""en"",""hi"")"),"अंतिम नाम दर्ज करो")</f>
        <v>अंतिम नाम दर्ज करो</v>
      </c>
      <c r="D380" s="4" t="str">
        <f>IFERROR(__xludf.DUMMYFUNCTION("GOOGLETRANSLATE(B380,""en"",""ar"")"),"أدخل الاسم الأخير")</f>
        <v>أدخل الاسم الأخير</v>
      </c>
      <c r="E380" s="4" t="str">
        <f>IFERROR(__xludf.DUMMYFUNCTION("GOOGLETRANSLATE(B380,""en"",""fr"")"),"Entrez le nom de famille")</f>
        <v>Entrez le nom de famille</v>
      </c>
      <c r="F380" s="4" t="str">
        <f>IFERROR(__xludf.DUMMYFUNCTION("GOOGLETRANSLATE(B380,""en"",""tr"")"),"Soyadını Girin")</f>
        <v>Soyadını Girin</v>
      </c>
      <c r="G380" s="4" t="str">
        <f>IFERROR(__xludf.DUMMYFUNCTION("GOOGLETRANSLATE(B380,""en"",""ru"")"),"Введите фамилию")</f>
        <v>Введите фамилию</v>
      </c>
      <c r="H380" s="4" t="str">
        <f>IFERROR(__xludf.DUMMYFUNCTION("GOOGLETRANSLATE(B380,""en"",""it"")"),"Inserisci il cognome")</f>
        <v>Inserisci il cognome</v>
      </c>
      <c r="I380" s="4" t="str">
        <f>IFERROR(__xludf.DUMMYFUNCTION("GOOGLETRANSLATE(B380,""en"",""de"")"),"Geben Sie den Nachnamen ein")</f>
        <v>Geben Sie den Nachnamen ein</v>
      </c>
      <c r="J380" s="4" t="str">
        <f>IFERROR(__xludf.DUMMYFUNCTION("GOOGLETRANSLATE(B380,""en"",""ko"")"),"성을 입력하세요")</f>
        <v>성을 입력하세요</v>
      </c>
      <c r="K380" s="4" t="str">
        <f>IFERROR(__xludf.DUMMYFUNCTION("GOOGLETRANSLATE(B380,""en"",""zh"")"),"输入姓氏")</f>
        <v>输入姓氏</v>
      </c>
      <c r="L380" s="4" t="str">
        <f>IFERROR(__xludf.DUMMYFUNCTION("GOOGLETRANSLATE(B380,""en"",""es"")"),"Ingrese Apellido")</f>
        <v>Ingrese Apellido</v>
      </c>
      <c r="M380" s="4" t="str">
        <f>IFERROR(__xludf.DUMMYFUNCTION("GOOGLETRANSLATE(B380,""en"",""iw"")"),"הזן שם משפחה")</f>
        <v>הזן שם משפחה</v>
      </c>
      <c r="N380" s="4" t="str">
        <f>IFERROR(__xludf.DUMMYFUNCTION("GOOGLETRANSLATE(B380,""en"",""bn"")"),"শেষ নাম লিখুন")</f>
        <v>শেষ নাম লিখুন</v>
      </c>
      <c r="O380" s="4" t="str">
        <f>IFERROR(__xludf.DUMMYFUNCTION("GOOGLETRANSLATE(B380,""en"",""pt"")"),"Digite o sobrenome")</f>
        <v>Digite o sobrenome</v>
      </c>
    </row>
    <row r="381">
      <c r="A381" s="35" t="s">
        <v>981</v>
      </c>
      <c r="B381" s="34" t="s">
        <v>982</v>
      </c>
      <c r="C381" s="4" t="str">
        <f>IFERROR(__xludf.DUMMYFUNCTION("GOOGLETRANSLATE(B381,""en"",""hi"")"),"अपना ईमेल पता दर्ज करें")</f>
        <v>अपना ईमेल पता दर्ज करें</v>
      </c>
      <c r="D381" s="4" t="str">
        <f>IFERROR(__xludf.DUMMYFUNCTION("GOOGLETRANSLATE(B381,""en"",""ar"")"),"أدخل عنوان بريدك الإلكتروني")</f>
        <v>أدخل عنوان بريدك الإلكتروني</v>
      </c>
      <c r="E381" s="4" t="str">
        <f>IFERROR(__xludf.DUMMYFUNCTION("GOOGLETRANSLATE(B381,""en"",""fr"")"),"Entrez votre adresse e-mail")</f>
        <v>Entrez votre adresse e-mail</v>
      </c>
      <c r="F381" s="4" t="str">
        <f>IFERROR(__xludf.DUMMYFUNCTION("GOOGLETRANSLATE(B381,""en"",""tr"")"),"E-posta Adresinizi Girin")</f>
        <v>E-posta Adresinizi Girin</v>
      </c>
      <c r="G381" s="4" t="str">
        <f>IFERROR(__xludf.DUMMYFUNCTION("GOOGLETRANSLATE(B381,""en"",""ru"")"),"Введите свой адрес электронной почты")</f>
        <v>Введите свой адрес электронной почты</v>
      </c>
      <c r="H381" s="4" t="str">
        <f>IFERROR(__xludf.DUMMYFUNCTION("GOOGLETRANSLATE(B381,""en"",""it"")"),"Inserisci il tuo indirizzo email")</f>
        <v>Inserisci il tuo indirizzo email</v>
      </c>
      <c r="I381" s="4" t="str">
        <f>IFERROR(__xludf.DUMMYFUNCTION("GOOGLETRANSLATE(B381,""en"",""de"")"),"Geben Sie Ihre E-Mail-Adresse ein")</f>
        <v>Geben Sie Ihre E-Mail-Adresse ein</v>
      </c>
      <c r="J381" s="4" t="str">
        <f>IFERROR(__xludf.DUMMYFUNCTION("GOOGLETRANSLATE(B381,""en"",""ko"")"),"이메일 주소를 입력하세요")</f>
        <v>이메일 주소를 입력하세요</v>
      </c>
      <c r="K381" s="4" t="str">
        <f>IFERROR(__xludf.DUMMYFUNCTION("GOOGLETRANSLATE(B381,""en"",""zh"")"),"输入您的电子邮件地址")</f>
        <v>输入您的电子邮件地址</v>
      </c>
      <c r="L381" s="4" t="str">
        <f>IFERROR(__xludf.DUMMYFUNCTION("GOOGLETRANSLATE(B381,""en"",""es"")"),"Ingrese su dirección de correo electrónico")</f>
        <v>Ingrese su dirección de correo electrónico</v>
      </c>
      <c r="M381" s="4" t="str">
        <f>IFERROR(__xludf.DUMMYFUNCTION("GOOGLETRANSLATE(B381,""en"",""iw"")"),"הזן את כתובת הדוא""ל שלך")</f>
        <v>הזן את כתובת הדוא"ל שלך</v>
      </c>
      <c r="N381" s="4" t="str">
        <f>IFERROR(__xludf.DUMMYFUNCTION("GOOGLETRANSLATE(B381,""en"",""bn"")"),"আপনার ইমেল ঠিকানা লিখুন")</f>
        <v>আপনার ইমেল ঠিকানা লিখুন</v>
      </c>
      <c r="O381" s="4" t="str">
        <f>IFERROR(__xludf.DUMMYFUNCTION("GOOGLETRANSLATE(B381,""en"",""pt"")"),"Digite seu endereço de e-mail")</f>
        <v>Digite seu endereço de e-mail</v>
      </c>
    </row>
    <row r="382">
      <c r="A382" s="35" t="s">
        <v>983</v>
      </c>
      <c r="B382" s="34" t="s">
        <v>984</v>
      </c>
      <c r="C382" s="4" t="str">
        <f>IFERROR(__xludf.DUMMYFUNCTION("GOOGLETRANSLATE(B382,""en"",""hi"")"),"शर्तें स्वीकार करें और गोपनीयता नीति नोटिस की समीक्षा करें")</f>
        <v>शर्तें स्वीकार करें और गोपनीयता नीति नोटिस की समीक्षा करें</v>
      </c>
      <c r="D382" s="4" t="str">
        <f>IFERROR(__xludf.DUMMYFUNCTION("GOOGLETRANSLATE(B382,""en"",""ar"")"),"قبول الشروط ومراجعة إشعار سياسة الخصوصية")</f>
        <v>قبول الشروط ومراجعة إشعار سياسة الخصوصية</v>
      </c>
      <c r="E382" s="4" t="str">
        <f>IFERROR(__xludf.DUMMYFUNCTION("GOOGLETRANSLATE(B382,""en"",""fr"")"),"Accepter les conditions générales et consulter la politique de confidentialité")</f>
        <v>Accepter les conditions générales et consulter la politique de confidentialité</v>
      </c>
      <c r="F382" s="4" t="str">
        <f>IFERROR(__xludf.DUMMYFUNCTION("GOOGLETRANSLATE(B382,""en"",""tr"")"),"Şartları Kabul Et ve Gizlilik Politikası Bildirimini İncele")</f>
        <v>Şartları Kabul Et ve Gizlilik Politikası Bildirimini İncele</v>
      </c>
      <c r="G382" s="4" t="str">
        <f>IFERROR(__xludf.DUMMYFUNCTION("GOOGLETRANSLATE(B382,""en"",""ru"")"),"Принять условия и ознакомиться с Политикой конфиденциальности")</f>
        <v>Принять условия и ознакомиться с Политикой конфиденциальности</v>
      </c>
      <c r="H382" s="4" t="str">
        <f>IFERROR(__xludf.DUMMYFUNCTION("GOOGLETRANSLATE(B382,""en"",""it"")"),"Accetta i termini e leggi l'informativa sulla privacy")</f>
        <v>Accetta i termini e leggi l'informativa sulla privacy</v>
      </c>
      <c r="I382" s="4" t="str">
        <f>IFERROR(__xludf.DUMMYFUNCTION("GOOGLETRANSLATE(B382,""en"",""de"")"),"Bedingungen akzeptieren und Datenschutzbestimmungen lesen")</f>
        <v>Bedingungen akzeptieren und Datenschutzbestimmungen lesen</v>
      </c>
      <c r="J382" s="4" t="str">
        <f>IFERROR(__xludf.DUMMYFUNCTION("GOOGLETRANSLATE(B382,""en"",""ko"")"),"이용 약관 동의 및 개인정보처리방침 고지사항 검토")</f>
        <v>이용 약관 동의 및 개인정보처리방침 고지사항 검토</v>
      </c>
      <c r="K382" s="4" t="str">
        <f>IFERROR(__xludf.DUMMYFUNCTION("GOOGLETRANSLATE(B382,""en"",""zh"")"),"接受条款并查看隐私政策声明")</f>
        <v>接受条款并查看隐私政策声明</v>
      </c>
      <c r="L382" s="4" t="str">
        <f>IFERROR(__xludf.DUMMYFUNCTION("GOOGLETRANSLATE(B382,""en"",""es"")"),"Aceptar términos y revisar el aviso de política de privacidad")</f>
        <v>Aceptar términos y revisar el aviso de política de privacidad</v>
      </c>
      <c r="M382" s="4" t="str">
        <f>IFERROR(__xludf.DUMMYFUNCTION("GOOGLETRANSLATE(B382,""en"",""iw"")"),"קבל את התנאים וסקור את הודעת מדיניות הפרטיות")</f>
        <v>קבל את התנאים וסקור את הודעת מדיניות הפרטיות</v>
      </c>
      <c r="N382" s="4" t="str">
        <f>IFERROR(__xludf.DUMMYFUNCTION("GOOGLETRANSLATE(B382,""en"",""bn"")"),"শর্তাবলী স্বীকার করুন এবং গোপনীয়তা নীতি বিজ্ঞপ্তি পর্যালোচনা করুন")</f>
        <v>শর্তাবলী স্বীকার করুন এবং গোপনীয়তা নীতি বিজ্ঞপ্তি পর্যালোচনা করুন</v>
      </c>
      <c r="O382" s="4" t="str">
        <f>IFERROR(__xludf.DUMMYFUNCTION("GOOGLETRANSLATE(B382,""en"",""pt"")"),"Aceitar os Termos e Revisar o Aviso de Política de Privacidade")</f>
        <v>Aceitar os Termos e Revisar o Aviso de Política de Privacidade</v>
      </c>
    </row>
    <row r="383">
      <c r="A383" s="35" t="s">
        <v>985</v>
      </c>
      <c r="B383" s="36" t="s">
        <v>986</v>
      </c>
      <c r="C383" s="4" t="str">
        <f>IFERROR(__xludf.DUMMYFUNCTION("GOOGLETRANSLATE(B383,""en"",""hi"")"),"नीचे ""मैं सहमत हूँ"" का चयन करके, मैंने उपयोग की शर्तों की समीक्षा की है और उनसे सहमत हूँ तथा गोपनीयता सूचना को स्वीकार करता हूँ।")</f>
        <v>नीचे "मैं सहमत हूँ" का चयन करके, मैंने उपयोग की शर्तों की समीक्षा की है और उनसे सहमत हूँ तथा गोपनीयता सूचना को स्वीकार करता हूँ।</v>
      </c>
      <c r="D383" s="4" t="str">
        <f>IFERROR(__xludf.DUMMYFUNCTION("GOOGLETRANSLATE(B383,""en"",""ar"")"),"من خلال اختيار ""أوافق"" أدناه، أكون قد قمت بمراجعة شروط الاستخدام والموافقة عليها وأقرت بإشعار الخصوصية.")</f>
        <v>من خلال اختيار "أوافق" أدناه، أكون قد قمت بمراجعة شروط الاستخدام والموافقة عليها وأقرت بإشعار الخصوصية.</v>
      </c>
      <c r="E383" s="4" t="str">
        <f>IFERROR(__xludf.DUMMYFUNCTION("GOOGLETRANSLATE(B383,""en"",""fr"")"),"En sélectionnant « J'accepte » ci-dessous, j'ai lu et j'accepte les conditions d'utilisation et j'ai reconnu l'avis de confidentialité.")</f>
        <v>En sélectionnant « J'accepte » ci-dessous, j'ai lu et j'accepte les conditions d'utilisation et j'ai reconnu l'avis de confidentialité.</v>
      </c>
      <c r="F383" s="4" t="str">
        <f>IFERROR(__xludf.DUMMYFUNCTION("GOOGLETRANSLATE(B383,""en"",""tr"")"),"Aşağıdaki ""Kabul Ediyorum""u seçerek Kullanım Koşullarını incelediğimi ve kabul ettiğimi ve Gizlilik Bildirimini onayladığımı beyan ederim.")</f>
        <v>Aşağıdaki "Kabul Ediyorum"u seçerek Kullanım Koşullarını incelediğimi ve kabul ettiğimi ve Gizlilik Bildirimini onayladığımı beyan ederim.</v>
      </c>
      <c r="G383" s="4" t="str">
        <f>IFERROR(__xludf.DUMMYFUNCTION("GOOGLETRANSLATE(B383,""en"",""ru"")"),"Выбрав «Я согласен» ниже, я подтверждаю свое согласие с Условиями использования и подтверждаю свое согласие с Уведомлением о конфиденциальности.")</f>
        <v>Выбрав «Я согласен» ниже, я подтверждаю свое согласие с Условиями использования и подтверждаю свое согласие с Уведомлением о конфиденциальности.</v>
      </c>
      <c r="H383" s="4" t="str">
        <f>IFERROR(__xludf.DUMMYFUNCTION("GOOGLETRANSLATE(B383,""en"",""it"")"),"Selezionando ""Accetto"" qui sotto, ho letto e accetto i Termini di utilizzo e ho preso atto dell'Informativa sulla privacy.")</f>
        <v>Selezionando "Accetto" qui sotto, ho letto e accetto i Termini di utilizzo e ho preso atto dell'Informativa sulla privacy.</v>
      </c>
      <c r="I383" s="4" t="str">
        <f>IFERROR(__xludf.DUMMYFUNCTION("GOOGLETRANSLATE(B383,""en"",""de"")"),"Indem ich unten „Ich stimme zu“ auswähle, habe ich die Nutzungsbedingungen gelesen und stimme ihnen zu und habe die Datenschutzerklärung zur Kenntnis genommen.")</f>
        <v>Indem ich unten „Ich stimme zu“ auswähle, habe ich die Nutzungsbedingungen gelesen und stimme ihnen zu und habe die Datenschutzerklärung zur Kenntnis genommen.</v>
      </c>
      <c r="J383" s="4" t="str">
        <f>IFERROR(__xludf.DUMMYFUNCTION("GOOGLETRANSLATE(B383,""en"",""ko"")"),"아래의 ""동의합니다""를 선택함으로써, 이용 약관을 검토하고 동의하며 개인정보 보호정책을 확인했습니다.")</f>
        <v>아래의 "동의합니다"를 선택함으로써, 이용 약관을 검토하고 동의하며 개인정보 보호정책을 확인했습니다.</v>
      </c>
      <c r="K383" s="4" t="str">
        <f>IFERROR(__xludf.DUMMYFUNCTION("GOOGLETRANSLATE(B383,""en"",""zh"")"),"通过选择下面的“我同意”，我已查看并同意使用条款并承认隐私声明。")</f>
        <v>通过选择下面的“我同意”，我已查看并同意使用条款并承认隐私声明。</v>
      </c>
      <c r="L383" s="4" t="str">
        <f>IFERROR(__xludf.DUMMYFUNCTION("GOOGLETRANSLATE(B383,""en"",""es"")"),"Al seleccionar ""Acepto"" a continuación, he revisado y acepto los Términos de uso y reconozco el Aviso de privacidad.")</f>
        <v>Al seleccionar "Acepto" a continuación, he revisado y acepto los Términos de uso y reconozco el Aviso de privacidad.</v>
      </c>
      <c r="M383" s="4" t="str">
        <f>IFERROR(__xludf.DUMMYFUNCTION("GOOGLETRANSLATE(B383,""en"",""iw"")"),"בבחירה ב""אני מסכים"" להלן, קראתי והסכמתי לתנאי השימוש והכרתי את הודעת הפרטיות.")</f>
        <v>בבחירה ב"אני מסכים" להלן, קראתי והסכמתי לתנאי השימוש והכרתי את הודעת הפרטיות.</v>
      </c>
      <c r="N383" s="4" t="str">
        <f>IFERROR(__xludf.DUMMYFUNCTION("GOOGLETRANSLATE(B383,""en"",""bn"")"),"নীচে ""আমি সম্মত"" নির্বাচন করে, আমি পর্যালোচনা করেছি এবং ব্যবহারের শর্তাবলীতে সম্মত এবং গোপনীয়তা বিজ্ঞপ্তি স্বীকার করেছি।")</f>
        <v>নীচে "আমি সম্মত" নির্বাচন করে, আমি পর্যালোচনা করেছি এবং ব্যবহারের শর্তাবলীতে সম্মত এবং গোপনীয়তা বিজ্ঞপ্তি স্বীকার করেছি।</v>
      </c>
      <c r="O383" s="4" t="str">
        <f>IFERROR(__xludf.DUMMYFUNCTION("GOOGLETRANSLATE(B383,""en"",""pt"")"),"Ao selecionar ""Concordo"" abaixo, li e concordo com os Termos de Uso e reconheci o Aviso de Privacidade.")</f>
        <v>Ao selecionar "Concordo" abaixo, li e concordo com os Termos de Uso e reconheci o Aviso de Privacidade.</v>
      </c>
    </row>
    <row r="384">
      <c r="A384" s="35" t="s">
        <v>987</v>
      </c>
      <c r="B384" s="36" t="s">
        <v>988</v>
      </c>
      <c r="C384" s="4" t="str">
        <f>IFERROR(__xludf.DUMMYFUNCTION("GOOGLETRANSLATE(B384,""en"",""hi"")"),"मैं सहमत हूं")</f>
        <v>मैं सहमत हूं</v>
      </c>
      <c r="D384" s="4" t="str">
        <f>IFERROR(__xludf.DUMMYFUNCTION("GOOGLETRANSLATE(B384,""en"",""ar"")"),"أنا موافق")</f>
        <v>أنا موافق</v>
      </c>
      <c r="E384" s="4" t="str">
        <f>IFERROR(__xludf.DUMMYFUNCTION("GOOGLETRANSLATE(B384,""en"",""fr"")"),"Je suis d'accord")</f>
        <v>Je suis d'accord</v>
      </c>
      <c r="F384" s="4" t="str">
        <f>IFERROR(__xludf.DUMMYFUNCTION("GOOGLETRANSLATE(B384,""en"",""tr"")"),"Kabul ediyorum")</f>
        <v>Kabul ediyorum</v>
      </c>
      <c r="G384" s="4" t="str">
        <f>IFERROR(__xludf.DUMMYFUNCTION("GOOGLETRANSLATE(B384,""en"",""ru"")"),"Я согласен")</f>
        <v>Я согласен</v>
      </c>
      <c r="H384" s="4" t="str">
        <f>IFERROR(__xludf.DUMMYFUNCTION("GOOGLETRANSLATE(B384,""en"",""it"")"),"Sono d'accordo")</f>
        <v>Sono d'accordo</v>
      </c>
      <c r="I384" s="4" t="str">
        <f>IFERROR(__xludf.DUMMYFUNCTION("GOOGLETRANSLATE(B384,""en"",""de"")"),"Ich stimme zu")</f>
        <v>Ich stimme zu</v>
      </c>
      <c r="J384" s="4" t="str">
        <f>IFERROR(__xludf.DUMMYFUNCTION("GOOGLETRANSLATE(B384,""en"",""ko"")"),"동의합니다")</f>
        <v>동의합니다</v>
      </c>
      <c r="K384" s="4" t="str">
        <f>IFERROR(__xludf.DUMMYFUNCTION("GOOGLETRANSLATE(B384,""en"",""zh"")"),"我同意")</f>
        <v>我同意</v>
      </c>
      <c r="L384" s="4" t="str">
        <f>IFERROR(__xludf.DUMMYFUNCTION("GOOGLETRANSLATE(B384,""en"",""es"")"),"Estoy de acuerdo")</f>
        <v>Estoy de acuerdo</v>
      </c>
      <c r="M384" s="4" t="str">
        <f>IFERROR(__xludf.DUMMYFUNCTION("GOOGLETRANSLATE(B384,""en"",""iw"")"),"אני מסכים")</f>
        <v>אני מסכים</v>
      </c>
      <c r="N384" s="4" t="str">
        <f>IFERROR(__xludf.DUMMYFUNCTION("GOOGLETRANSLATE(B384,""en"",""bn"")"),"আমি রাজি")</f>
        <v>আমি রাজি</v>
      </c>
      <c r="O384" s="4" t="str">
        <f>IFERROR(__xludf.DUMMYFUNCTION("GOOGLETRANSLATE(B384,""en"",""pt"")"),"Concordo")</f>
        <v>Concordo</v>
      </c>
    </row>
    <row r="385">
      <c r="A385" s="35" t="s">
        <v>989</v>
      </c>
      <c r="B385" s="36" t="s">
        <v>990</v>
      </c>
      <c r="C385" s="4" t="str">
        <f>IFERROR(__xludf.DUMMYFUNCTION("GOOGLETRANSLATE(B385,""en"",""hi"")"),"आवश्यक जानकारी")</f>
        <v>आवश्यक जानकारी</v>
      </c>
      <c r="D385" s="4" t="str">
        <f>IFERROR(__xludf.DUMMYFUNCTION("GOOGLETRANSLATE(B385,""en"",""ar"")"),"المعلومات المطلوبة")</f>
        <v>المعلومات المطلوبة</v>
      </c>
      <c r="E385" s="4" t="str">
        <f>IFERROR(__xludf.DUMMYFUNCTION("GOOGLETRANSLATE(B385,""en"",""fr"")"),"Informations requises")</f>
        <v>Informations requises</v>
      </c>
      <c r="F385" s="4" t="str">
        <f>IFERROR(__xludf.DUMMYFUNCTION("GOOGLETRANSLATE(B385,""en"",""tr"")"),"Gerekli Bilgiler")</f>
        <v>Gerekli Bilgiler</v>
      </c>
      <c r="G385" s="4" t="str">
        <f>IFERROR(__xludf.DUMMYFUNCTION("GOOGLETRANSLATE(B385,""en"",""ru"")"),"Требуемая информация")</f>
        <v>Требуемая информация</v>
      </c>
      <c r="H385" s="4" t="str">
        <f>IFERROR(__xludf.DUMMYFUNCTION("GOOGLETRANSLATE(B385,""en"",""it"")"),"Informazioni richieste")</f>
        <v>Informazioni richieste</v>
      </c>
      <c r="I385" s="4" t="str">
        <f>IFERROR(__xludf.DUMMYFUNCTION("GOOGLETRANSLATE(B385,""en"",""de"")"),"Erforderliche Informationen")</f>
        <v>Erforderliche Informationen</v>
      </c>
      <c r="J385" s="4" t="str">
        <f>IFERROR(__xludf.DUMMYFUNCTION("GOOGLETRANSLATE(B385,""en"",""ko"")"),"필수 정보")</f>
        <v>필수 정보</v>
      </c>
      <c r="K385" s="4" t="str">
        <f>IFERROR(__xludf.DUMMYFUNCTION("GOOGLETRANSLATE(B385,""en"",""zh"")"),"所需信息")</f>
        <v>所需信息</v>
      </c>
      <c r="L385" s="4" t="str">
        <f>IFERROR(__xludf.DUMMYFUNCTION("GOOGLETRANSLATE(B385,""en"",""es"")"),"Información requerida")</f>
        <v>Información requerida</v>
      </c>
      <c r="M385" s="4" t="str">
        <f>IFERROR(__xludf.DUMMYFUNCTION("GOOGLETRANSLATE(B385,""en"",""iw"")"),"מידע נדרש")</f>
        <v>מידע נדרש</v>
      </c>
      <c r="N385" s="4" t="str">
        <f>IFERROR(__xludf.DUMMYFUNCTION("GOOGLETRANSLATE(B385,""en"",""bn"")"),"প্রয়োজনীয় তথ্য")</f>
        <v>প্রয়োজনীয় তথ্য</v>
      </c>
      <c r="O385" s="4" t="str">
        <f>IFERROR(__xludf.DUMMYFUNCTION("GOOGLETRANSLATE(B385,""en"",""pt"")"),"Informações necessárias")</f>
        <v>Informações necessárias</v>
      </c>
    </row>
    <row r="386">
      <c r="A386" s="37" t="s">
        <v>991</v>
      </c>
      <c r="B386" s="36" t="s">
        <v>992</v>
      </c>
      <c r="C386" s="4" t="str">
        <f>IFERROR(__xludf.DUMMYFUNCTION("GOOGLETRANSLATE(B386,""en"",""hi"")"),"स्वागत")</f>
        <v>स्वागत</v>
      </c>
      <c r="D386" s="4" t="str">
        <f>IFERROR(__xludf.DUMMYFUNCTION("GOOGLETRANSLATE(B386,""en"",""ar"")"),"مرحباً")</f>
        <v>مرحباً</v>
      </c>
      <c r="E386" s="4" t="str">
        <f>IFERROR(__xludf.DUMMYFUNCTION("GOOGLETRANSLATE(B386,""en"",""fr"")"),"Accueillir")</f>
        <v>Accueillir</v>
      </c>
      <c r="F386" s="4" t="str">
        <f>IFERROR(__xludf.DUMMYFUNCTION("GOOGLETRANSLATE(B386,""en"",""tr"")"),"Hoş geldin")</f>
        <v>Hoş geldin</v>
      </c>
      <c r="G386" s="4" t="str">
        <f>IFERROR(__xludf.DUMMYFUNCTION("GOOGLETRANSLATE(B386,""en"",""ru"")"),"Добро пожаловать")</f>
        <v>Добро пожаловать</v>
      </c>
      <c r="H386" s="4" t="str">
        <f>IFERROR(__xludf.DUMMYFUNCTION("GOOGLETRANSLATE(B386,""en"",""it"")"),"Benvenuto")</f>
        <v>Benvenuto</v>
      </c>
      <c r="I386" s="4" t="str">
        <f>IFERROR(__xludf.DUMMYFUNCTION("GOOGLETRANSLATE(B386,""en"",""de"")"),"Willkommen")</f>
        <v>Willkommen</v>
      </c>
      <c r="J386" s="4" t="str">
        <f>IFERROR(__xludf.DUMMYFUNCTION("GOOGLETRANSLATE(B386,""en"",""ko"")"),"환영")</f>
        <v>환영</v>
      </c>
      <c r="K386" s="4" t="str">
        <f>IFERROR(__xludf.DUMMYFUNCTION("GOOGLETRANSLATE(B386,""en"",""zh"")"),"欢迎")</f>
        <v>欢迎</v>
      </c>
      <c r="L386" s="4" t="str">
        <f>IFERROR(__xludf.DUMMYFUNCTION("GOOGLETRANSLATE(B386,""en"",""es"")"),"Bienvenido")</f>
        <v>Bienvenido</v>
      </c>
      <c r="M386" s="4" t="str">
        <f>IFERROR(__xludf.DUMMYFUNCTION("GOOGLETRANSLATE(B386,""en"",""iw"")"),"קַבָּלַת פָּנִים")</f>
        <v>קַבָּלַת פָּנִים</v>
      </c>
      <c r="N386" s="4" t="str">
        <f>IFERROR(__xludf.DUMMYFUNCTION("GOOGLETRANSLATE(B386,""en"",""bn"")"),"স্বাগতম")</f>
        <v>স্বাগতম</v>
      </c>
      <c r="O386" s="4" t="str">
        <f>IFERROR(__xludf.DUMMYFUNCTION("GOOGLETRANSLATE(B386,""en"",""pt"")"),"Bem-vindo")</f>
        <v>Bem-vindo</v>
      </c>
    </row>
    <row r="387">
      <c r="A387" s="35" t="s">
        <v>993</v>
      </c>
      <c r="B387" s="36" t="s">
        <v>994</v>
      </c>
      <c r="C387" s="4" t="str">
        <f>IFERROR(__xludf.DUMMYFUNCTION("GOOGLETRANSLATE(B387,""en"",""hi"")"),"ड्राइवर बनने के लिए आपको क्या चाहिए")</f>
        <v>ड्राइवर बनने के लिए आपको क्या चाहिए</v>
      </c>
      <c r="D387" s="4" t="str">
        <f>IFERROR(__xludf.DUMMYFUNCTION("GOOGLETRANSLATE(B387,""en"",""ar"")"),"إليك ما تحتاجه لتصبح سائقًا")</f>
        <v>إليك ما تحتاجه لتصبح سائقًا</v>
      </c>
      <c r="E387" s="4" t="str">
        <f>IFERROR(__xludf.DUMMYFUNCTION("GOOGLETRANSLATE(B387,""en"",""fr"")"),"Voici ce dont vous avez besoin pour devenir conducteur")</f>
        <v>Voici ce dont vous avez besoin pour devenir conducteur</v>
      </c>
      <c r="F387" s="4" t="str">
        <f>IFERROR(__xludf.DUMMYFUNCTION("GOOGLETRANSLATE(B387,""en"",""tr"")"),"Sürücü olmak için ihtiyacınız olanlar şunlardır")</f>
        <v>Sürücü olmak için ihtiyacınız olanlar şunlardır</v>
      </c>
      <c r="G387" s="4" t="str">
        <f>IFERROR(__xludf.DUMMYFUNCTION("GOOGLETRANSLATE(B387,""en"",""ru"")"),"Вот что вам нужно, чтобы стать водителем")</f>
        <v>Вот что вам нужно, чтобы стать водителем</v>
      </c>
      <c r="H387" s="4" t="str">
        <f>IFERROR(__xludf.DUMMYFUNCTION("GOOGLETRANSLATE(B387,""en"",""it"")"),"Ecco cosa ti serve per diventare autista")</f>
        <v>Ecco cosa ti serve per diventare autista</v>
      </c>
      <c r="I387" s="4" t="str">
        <f>IFERROR(__xludf.DUMMYFUNCTION("GOOGLETRANSLATE(B387,""en"",""de"")"),"Das brauchen Sie, um Fahrer zu werden")</f>
        <v>Das brauchen Sie, um Fahrer zu werden</v>
      </c>
      <c r="J387" s="4" t="str">
        <f>IFERROR(__xludf.DUMMYFUNCTION("GOOGLETRANSLATE(B387,""en"",""ko"")"),"운전자가 되기 위해 필요한 것은 다음과 같습니다.")</f>
        <v>운전자가 되기 위해 필요한 것은 다음과 같습니다.</v>
      </c>
      <c r="K387" s="4" t="str">
        <f>IFERROR(__xludf.DUMMYFUNCTION("GOOGLETRANSLATE(B387,""en"",""zh"")"),"成为司机需要满足以下条件")</f>
        <v>成为司机需要满足以下条件</v>
      </c>
      <c r="L387" s="4" t="str">
        <f>IFERROR(__xludf.DUMMYFUNCTION("GOOGLETRANSLATE(B387,""en"",""es"")"),"Esto es lo que necesitas para convertirte en conductor")</f>
        <v>Esto es lo que necesitas para convertirte en conductor</v>
      </c>
      <c r="M387" s="4" t="str">
        <f>IFERROR(__xludf.DUMMYFUNCTION("GOOGLETRANSLATE(B387,""en"",""iw"")"),"הנה מה שאתה צריך כדי להיות נהג")</f>
        <v>הנה מה שאתה צריך כדי להיות נהג</v>
      </c>
      <c r="N387" s="4" t="str">
        <f>IFERROR(__xludf.DUMMYFUNCTION("GOOGLETRANSLATE(B387,""en"",""bn"")"),"ড্রাইভার হতে আপনার যা দরকার তা এখানে")</f>
        <v>ড্রাইভার হতে আপনার যা দরকার তা এখানে</v>
      </c>
      <c r="O387" s="4" t="str">
        <f>IFERROR(__xludf.DUMMYFUNCTION("GOOGLETRANSLATE(B387,""en"",""pt"")"),"Aqui está o que você precisa para se tornar um motorista")</f>
        <v>Aqui está o que você precisa para se tornar um motorista</v>
      </c>
    </row>
    <row r="388">
      <c r="A388" s="35" t="s">
        <v>995</v>
      </c>
      <c r="B388" s="36" t="s">
        <v>996</v>
      </c>
      <c r="C388" s="4" t="str">
        <f>IFERROR(__xludf.DUMMYFUNCTION("GOOGLETRANSLATE(B388,""en"",""hi"")"),"प्रोफ़ाइल")</f>
        <v>प्रोफ़ाइल</v>
      </c>
      <c r="D388" s="4" t="str">
        <f>IFERROR(__xludf.DUMMYFUNCTION("GOOGLETRANSLATE(B388,""en"",""ar"")"),"حساب تعريفي")</f>
        <v>حساب تعريفي</v>
      </c>
      <c r="E388" s="4" t="str">
        <f>IFERROR(__xludf.DUMMYFUNCTION("GOOGLETRANSLATE(B388,""en"",""fr"")"),"Profil")</f>
        <v>Profil</v>
      </c>
      <c r="F388" s="4" t="str">
        <f>IFERROR(__xludf.DUMMYFUNCTION("GOOGLETRANSLATE(B388,""en"",""tr"")"),"Profil")</f>
        <v>Profil</v>
      </c>
      <c r="G388" s="4" t="str">
        <f>IFERROR(__xludf.DUMMYFUNCTION("GOOGLETRANSLATE(B388,""en"",""ru"")"),"Профиль")</f>
        <v>Профиль</v>
      </c>
      <c r="H388" s="4" t="str">
        <f>IFERROR(__xludf.DUMMYFUNCTION("GOOGLETRANSLATE(B388,""en"",""it"")"),"Profilo")</f>
        <v>Profilo</v>
      </c>
      <c r="I388" s="4" t="str">
        <f>IFERROR(__xludf.DUMMYFUNCTION("GOOGLETRANSLATE(B388,""en"",""de"")"),"Profil")</f>
        <v>Profil</v>
      </c>
      <c r="J388" s="4" t="str">
        <f>IFERROR(__xludf.DUMMYFUNCTION("GOOGLETRANSLATE(B388,""en"",""ko"")"),"윤곽")</f>
        <v>윤곽</v>
      </c>
      <c r="K388" s="4" t="str">
        <f>IFERROR(__xludf.DUMMYFUNCTION("GOOGLETRANSLATE(B388,""en"",""zh"")"),"轮廓")</f>
        <v>轮廓</v>
      </c>
      <c r="L388" s="4" t="str">
        <f>IFERROR(__xludf.DUMMYFUNCTION("GOOGLETRANSLATE(B388,""en"",""es"")"),"Perfil")</f>
        <v>Perfil</v>
      </c>
      <c r="M388" s="4" t="str">
        <f>IFERROR(__xludf.DUMMYFUNCTION("GOOGLETRANSLATE(B388,""en"",""iw"")"),"פּרוֹפִיל")</f>
        <v>פּרוֹפִיל</v>
      </c>
      <c r="N388" s="4" t="str">
        <f>IFERROR(__xludf.DUMMYFUNCTION("GOOGLETRANSLATE(B388,""en"",""bn"")"),"প্রোফাইল")</f>
        <v>প্রোফাইল</v>
      </c>
      <c r="O388" s="4" t="str">
        <f>IFERROR(__xludf.DUMMYFUNCTION("GOOGLETRANSLATE(B388,""en"",""pt"")"),"Perfil")</f>
        <v>Perfil</v>
      </c>
    </row>
    <row r="389">
      <c r="A389" s="35" t="s">
        <v>997</v>
      </c>
      <c r="B389" s="36" t="s">
        <v>998</v>
      </c>
      <c r="C389" s="4" t="str">
        <f>IFERROR(__xludf.DUMMYFUNCTION("GOOGLETRANSLATE(B389,""en"",""hi"")"),"आवेदन स्वीकार करने के लिए हमें पहचान पत्र की आवश्यकता है जो सेवा प्रदान करने के लिए आवेदक की पात्रता को सिद्ध करे।")</f>
        <v>आवेदन स्वीकार करने के लिए हमें पहचान पत्र की आवश्यकता है जो सेवा प्रदान करने के लिए आवेदक की पात्रता को सिद्ध करे।</v>
      </c>
      <c r="D389" s="4" t="str">
        <f>IFERROR(__xludf.DUMMYFUNCTION("GOOGLETRANSLATE(B389,""en"",""ar"")"),"لقبول الطلب، نحتاج إلى إثبات هوية يثبت أهلية مقدم الطلب لتقديم الخدمة.")</f>
        <v>لقبول الطلب، نحتاج إلى إثبات هوية يثبت أهلية مقدم الطلب لتقديم الخدمة.</v>
      </c>
      <c r="E389" s="4" t="str">
        <f>IFERROR(__xludf.DUMMYFUNCTION("GOOGLETRANSLATE(B389,""en"",""fr"")"),"Pour accepter la demande, nous avons besoin d'une pièce d'identité prouvant l'éligibilité du demandeur à fournir le service.")</f>
        <v>Pour accepter la demande, nous avons besoin d'une pièce d'identité prouvant l'éligibilité du demandeur à fournir le service.</v>
      </c>
      <c r="F389" s="4" t="str">
        <f>IFERROR(__xludf.DUMMYFUNCTION("GOOGLETRANSLATE(B389,""en"",""tr"")"),"Başvuruyu kabul edebilmemiz için, başvuranın hizmeti sağlamaya uygunluğunu kanıtlayan bir kimliğe ihtiyacımız var.")</f>
        <v>Başvuruyu kabul edebilmemiz için, başvuranın hizmeti sağlamaya uygunluğunu kanıtlayan bir kimliğe ihtiyacımız var.</v>
      </c>
      <c r="G389" s="4" t="str">
        <f>IFERROR(__xludf.DUMMYFUNCTION("GOOGLETRANSLATE(B389,""en"",""ru"")"),"Для принятия заявки нам необходимы идентификационные данные, подтверждающие право заявителя на предоставление услуги.")</f>
        <v>Для принятия заявки нам необходимы идентификационные данные, подтверждающие право заявителя на предоставление услуги.</v>
      </c>
      <c r="H389" s="4" t="str">
        <f>IFERROR(__xludf.DUMMYFUNCTION("GOOGLETRANSLATE(B389,""en"",""it"")"),"Per accettare la domanda, abbiamo bisogno di un documento d'identità che dimostri l'idoneità del richiedente a fornire il servizio.")</f>
        <v>Per accettare la domanda, abbiamo bisogno di un documento d'identità che dimostri l'idoneità del richiedente a fornire il servizio.</v>
      </c>
      <c r="I389" s="4" t="str">
        <f>IFERROR(__xludf.DUMMYFUNCTION("GOOGLETRANSLATE(B389,""en"",""de"")"),"Zur Annahme des Antrags benötigen wir einen Ausweis, der die Berechtigung des Antragstellers zur Erbringung der Dienstleistung belegt.")</f>
        <v>Zur Annahme des Antrags benötigen wir einen Ausweis, der die Berechtigung des Antragstellers zur Erbringung der Dienstleistung belegt.</v>
      </c>
      <c r="J389" s="4" t="str">
        <f>IFERROR(__xludf.DUMMYFUNCTION("GOOGLETRANSLATE(B389,""en"",""ko"")"),"신청을 수락하려면 신청자가 해당 서비스를 제공할 수 있는 적격자임을 증명하는 신분증이 필요합니다.")</f>
        <v>신청을 수락하려면 신청자가 해당 서비스를 제공할 수 있는 적격자임을 증명하는 신분증이 필요합니다.</v>
      </c>
      <c r="K389" s="4" t="str">
        <f>IFERROR(__xludf.DUMMYFUNCTION("GOOGLETRANSLATE(B389,""en"",""zh"")"),"为了接受申请，我们需要证明申请人有资格提供服务的身份证明。")</f>
        <v>为了接受申请，我们需要证明申请人有资格提供服务的身份证明。</v>
      </c>
      <c r="L389" s="4" t="str">
        <f>IFERROR(__xludf.DUMMYFUNCTION("GOOGLETRANSLATE(B389,""en"",""es"")"),"Para aceptar la solicitud, necesitamos una identificación que acredite la elegibilidad del solicitante para prestar el servicio.")</f>
        <v>Para aceptar la solicitud, necesitamos una identificación que acredite la elegibilidad del solicitante para prestar el servicio.</v>
      </c>
      <c r="M389" s="4" t="str">
        <f>IFERROR(__xludf.DUMMYFUNCTION("GOOGLETRANSLATE(B389,""en"",""iw"")"),"כדי לקבל את הבקשה, אנו זקוקים לזיהוי המוכיח את כשירותו של המבקש לספק את השירות.")</f>
        <v>כדי לקבל את הבקשה, אנו זקוקים לזיהוי המוכיח את כשירותו של המבקש לספק את השירות.</v>
      </c>
      <c r="N389" s="4" t="str">
        <f>IFERROR(__xludf.DUMMYFUNCTION("GOOGLETRANSLATE(B389,""en"",""bn"")"),"আবেদন গ্রহণ করার জন্য, আমাদের পরিচয়পত্র প্রয়োজন যা আবেদনকারীর পরিষেবা প্রদানের যোগ্যতা প্রমাণ করে।")</f>
        <v>আবেদন গ্রহণ করার জন্য, আমাদের পরিচয়পত্র প্রয়োজন যা আবেদনকারীর পরিষেবা প্রদানের যোগ্যতা প্রমাণ করে।</v>
      </c>
      <c r="O389" s="4" t="str">
        <f>IFERROR(__xludf.DUMMYFUNCTION("GOOGLETRANSLATE(B389,""en"",""pt"")"),"Para aceitar a solicitação, precisamos de uma identificação que comprove a elegibilidade do solicitante para prestar o serviço.")</f>
        <v>Para aceitar a solicitação, precisamos de uma identificação que comprove a elegibilidade do solicitante para prestar o serviço.</v>
      </c>
    </row>
    <row r="390">
      <c r="A390" s="35" t="s">
        <v>999</v>
      </c>
      <c r="B390" s="36" t="s">
        <v>1000</v>
      </c>
      <c r="C390" s="4" t="str">
        <f>IFERROR(__xludf.DUMMYFUNCTION("GOOGLETRANSLATE(B390,""en"",""hi"")"),"कार की जानकारी")</f>
        <v>कार की जानकारी</v>
      </c>
      <c r="D390" s="4" t="str">
        <f>IFERROR(__xludf.DUMMYFUNCTION("GOOGLETRANSLATE(B390,""en"",""ar"")"),"معلومات السيارة")</f>
        <v>معلومات السيارة</v>
      </c>
      <c r="E390" s="4" t="str">
        <f>IFERROR(__xludf.DUMMYFUNCTION("GOOGLETRANSLATE(B390,""en"",""fr"")"),"Informations sur la voiture")</f>
        <v>Informations sur la voiture</v>
      </c>
      <c r="F390" s="4" t="str">
        <f>IFERROR(__xludf.DUMMYFUNCTION("GOOGLETRANSLATE(B390,""en"",""tr"")"),"Araba Bilgileri")</f>
        <v>Araba Bilgileri</v>
      </c>
      <c r="G390" s="4" t="str">
        <f>IFERROR(__xludf.DUMMYFUNCTION("GOOGLETRANSLATE(B390,""en"",""ru"")"),"Информация об автомобиле")</f>
        <v>Информация об автомобиле</v>
      </c>
      <c r="H390" s="4" t="str">
        <f>IFERROR(__xludf.DUMMYFUNCTION("GOOGLETRANSLATE(B390,""en"",""it"")"),"Informazioni sull'auto")</f>
        <v>Informazioni sull'auto</v>
      </c>
      <c r="I390" s="4" t="str">
        <f>IFERROR(__xludf.DUMMYFUNCTION("GOOGLETRANSLATE(B390,""en"",""de"")"),"Fahrzeuginformationen")</f>
        <v>Fahrzeuginformationen</v>
      </c>
      <c r="J390" s="4" t="str">
        <f>IFERROR(__xludf.DUMMYFUNCTION("GOOGLETRANSLATE(B390,""en"",""ko"")"),"차량 정보")</f>
        <v>차량 정보</v>
      </c>
      <c r="K390" s="4" t="str">
        <f>IFERROR(__xludf.DUMMYFUNCTION("GOOGLETRANSLATE(B390,""en"",""zh"")"),"车辆信息")</f>
        <v>车辆信息</v>
      </c>
      <c r="L390" s="4" t="str">
        <f>IFERROR(__xludf.DUMMYFUNCTION("GOOGLETRANSLATE(B390,""en"",""es"")"),"Información del vehículo")</f>
        <v>Información del vehículo</v>
      </c>
      <c r="M390" s="4" t="str">
        <f>IFERROR(__xludf.DUMMYFUNCTION("GOOGLETRANSLATE(B390,""en"",""iw"")"),"מידע על רכב")</f>
        <v>מידע על רכב</v>
      </c>
      <c r="N390" s="4" t="str">
        <f>IFERROR(__xludf.DUMMYFUNCTION("GOOGLETRANSLATE(B390,""en"",""bn"")"),"গাড়ির তথ্য")</f>
        <v>গাড়ির তথ্য</v>
      </c>
      <c r="O390" s="4" t="str">
        <f>IFERROR(__xludf.DUMMYFUNCTION("GOOGLETRANSLATE(B390,""en"",""pt"")"),"Informações do carro")</f>
        <v>Informações do carro</v>
      </c>
    </row>
    <row r="391">
      <c r="A391" s="35" t="s">
        <v>1001</v>
      </c>
      <c r="B391" s="36" t="s">
        <v>998</v>
      </c>
      <c r="C391" s="4" t="str">
        <f>IFERROR(__xludf.DUMMYFUNCTION("GOOGLETRANSLATE(B391,""en"",""hi"")"),"आवेदन स्वीकार करने के लिए हमें पहचान पत्र की आवश्यकता है जो सेवा प्रदान करने के लिए आवेदक की पात्रता को सिद्ध करे।")</f>
        <v>आवेदन स्वीकार करने के लिए हमें पहचान पत्र की आवश्यकता है जो सेवा प्रदान करने के लिए आवेदक की पात्रता को सिद्ध करे।</v>
      </c>
      <c r="D391" s="4" t="str">
        <f>IFERROR(__xludf.DUMMYFUNCTION("GOOGLETRANSLATE(B391,""en"",""ar"")"),"لقبول الطلب، نحتاج إلى إثبات هوية يثبت أهلية مقدم الطلب لتقديم الخدمة.")</f>
        <v>لقبول الطلب، نحتاج إلى إثبات هوية يثبت أهلية مقدم الطلب لتقديم الخدمة.</v>
      </c>
      <c r="E391" s="4" t="str">
        <f>IFERROR(__xludf.DUMMYFUNCTION("GOOGLETRANSLATE(B391,""en"",""fr"")"),"Pour accepter la demande, nous avons besoin d'une pièce d'identité prouvant l'éligibilité du demandeur à fournir le service.")</f>
        <v>Pour accepter la demande, nous avons besoin d'une pièce d'identité prouvant l'éligibilité du demandeur à fournir le service.</v>
      </c>
      <c r="F391" s="4" t="str">
        <f>IFERROR(__xludf.DUMMYFUNCTION("GOOGLETRANSLATE(B391,""en"",""tr"")"),"Başvuruyu kabul edebilmemiz için, başvuranın hizmeti sağlamaya uygunluğunu kanıtlayan bir kimliğe ihtiyacımız var.")</f>
        <v>Başvuruyu kabul edebilmemiz için, başvuranın hizmeti sağlamaya uygunluğunu kanıtlayan bir kimliğe ihtiyacımız var.</v>
      </c>
      <c r="G391" s="4" t="str">
        <f>IFERROR(__xludf.DUMMYFUNCTION("GOOGLETRANSLATE(B391,""en"",""ru"")"),"Для принятия заявки нам необходимы идентификационные данные, подтверждающие право заявителя на предоставление услуги.")</f>
        <v>Для принятия заявки нам необходимы идентификационные данные, подтверждающие право заявителя на предоставление услуги.</v>
      </c>
      <c r="H391" s="4" t="str">
        <f>IFERROR(__xludf.DUMMYFUNCTION("GOOGLETRANSLATE(B391,""en"",""it"")"),"Per accettare la domanda, abbiamo bisogno di un documento d'identità che dimostri l'idoneità del richiedente a fornire il servizio.")</f>
        <v>Per accettare la domanda, abbiamo bisogno di un documento d'identità che dimostri l'idoneità del richiedente a fornire il servizio.</v>
      </c>
      <c r="I391" s="4" t="str">
        <f>IFERROR(__xludf.DUMMYFUNCTION("GOOGLETRANSLATE(B391,""en"",""de"")"),"Zur Annahme des Antrags benötigen wir einen Ausweis, der die Berechtigung des Antragstellers zur Erbringung der Dienstleistung belegt.")</f>
        <v>Zur Annahme des Antrags benötigen wir einen Ausweis, der die Berechtigung des Antragstellers zur Erbringung der Dienstleistung belegt.</v>
      </c>
      <c r="J391" s="4" t="str">
        <f>IFERROR(__xludf.DUMMYFUNCTION("GOOGLETRANSLATE(B391,""en"",""ko"")"),"신청을 수락하려면 신청자가 해당 서비스를 제공할 수 있는 적격자임을 증명하는 신분증이 필요합니다.")</f>
        <v>신청을 수락하려면 신청자가 해당 서비스를 제공할 수 있는 적격자임을 증명하는 신분증이 필요합니다.</v>
      </c>
      <c r="K391" s="4" t="str">
        <f>IFERROR(__xludf.DUMMYFUNCTION("GOOGLETRANSLATE(B391,""en"",""zh"")"),"为了接受申请，我们需要证明申请人有资格提供服务的身份证明。")</f>
        <v>为了接受申请，我们需要证明申请人有资格提供服务的身份证明。</v>
      </c>
      <c r="L391" s="4" t="str">
        <f>IFERROR(__xludf.DUMMYFUNCTION("GOOGLETRANSLATE(B391,""en"",""es"")"),"Para aceptar la solicitud, necesitamos una identificación que acredite la elegibilidad del solicitante para prestar el servicio.")</f>
        <v>Para aceptar la solicitud, necesitamos una identificación que acredite la elegibilidad del solicitante para prestar el servicio.</v>
      </c>
      <c r="M391" s="4" t="str">
        <f>IFERROR(__xludf.DUMMYFUNCTION("GOOGLETRANSLATE(B391,""en"",""iw"")"),"כדי לקבל את הבקשה, אנו זקוקים לזיהוי המוכיח את כשירותו של המבקש לספק את השירות.")</f>
        <v>כדי לקבל את הבקשה, אנו זקוקים לזיהוי המוכיח את כשירותו של המבקש לספק את השירות.</v>
      </c>
      <c r="N391" s="4" t="str">
        <f>IFERROR(__xludf.DUMMYFUNCTION("GOOGLETRANSLATE(B391,""en"",""bn"")"),"আবেদন গ্রহণ করার জন্য, আমাদের পরিচয়পত্র প্রয়োজন যা আবেদনকারীর পরিষেবা প্রদানের যোগ্যতা প্রমাণ করে।")</f>
        <v>আবেদন গ্রহণ করার জন্য, আমাদের পরিচয়পত্র প্রয়োজন যা আবেদনকারীর পরিষেবা প্রদানের যোগ্যতা প্রমাণ করে।</v>
      </c>
      <c r="O391" s="4" t="str">
        <f>IFERROR(__xludf.DUMMYFUNCTION("GOOGLETRANSLATE(B391,""en"",""pt"")"),"Para aceitar a solicitação, precisamos de uma identificação que comprove a elegibilidade do solicitante para prestar o serviço.")</f>
        <v>Para aceitar a solicitação, precisamos de uma identificação que comprove a elegibilidade do solicitante para prestar o serviço.</v>
      </c>
    </row>
    <row r="392">
      <c r="A392" s="35" t="s">
        <v>1002</v>
      </c>
      <c r="B392" s="36" t="s">
        <v>1003</v>
      </c>
      <c r="C392" s="4" t="str">
        <f>IFERROR(__xludf.DUMMYFUNCTION("GOOGLETRANSLATE(B392,""en"",""hi"")"),"दस्तावेज़")</f>
        <v>दस्तावेज़</v>
      </c>
      <c r="D392" s="4" t="str">
        <f>IFERROR(__xludf.DUMMYFUNCTION("GOOGLETRANSLATE(B392,""en"",""ar"")"),"وثيقة")</f>
        <v>وثيقة</v>
      </c>
      <c r="E392" s="4" t="str">
        <f>IFERROR(__xludf.DUMMYFUNCTION("GOOGLETRANSLATE(B392,""en"",""fr"")"),"Document")</f>
        <v>Document</v>
      </c>
      <c r="F392" s="4" t="str">
        <f>IFERROR(__xludf.DUMMYFUNCTION("GOOGLETRANSLATE(B392,""en"",""tr"")"),"Belge")</f>
        <v>Belge</v>
      </c>
      <c r="G392" s="4" t="str">
        <f>IFERROR(__xludf.DUMMYFUNCTION("GOOGLETRANSLATE(B392,""en"",""ru"")"),"Документ")</f>
        <v>Документ</v>
      </c>
      <c r="H392" s="4" t="str">
        <f>IFERROR(__xludf.DUMMYFUNCTION("GOOGLETRANSLATE(B392,""en"",""it"")"),"Documento")</f>
        <v>Documento</v>
      </c>
      <c r="I392" s="4" t="str">
        <f>IFERROR(__xludf.DUMMYFUNCTION("GOOGLETRANSLATE(B392,""en"",""de"")"),"Dokumentieren")</f>
        <v>Dokumentieren</v>
      </c>
      <c r="J392" s="4" t="str">
        <f>IFERROR(__xludf.DUMMYFUNCTION("GOOGLETRANSLATE(B392,""en"",""ko"")"),"문서")</f>
        <v>문서</v>
      </c>
      <c r="K392" s="4" t="str">
        <f>IFERROR(__xludf.DUMMYFUNCTION("GOOGLETRANSLATE(B392,""en"",""zh"")"),"文档")</f>
        <v>文档</v>
      </c>
      <c r="L392" s="4" t="str">
        <f>IFERROR(__xludf.DUMMYFUNCTION("GOOGLETRANSLATE(B392,""en"",""es"")"),"Documento")</f>
        <v>Documento</v>
      </c>
      <c r="M392" s="4" t="str">
        <f>IFERROR(__xludf.DUMMYFUNCTION("GOOGLETRANSLATE(B392,""en"",""iw"")"),"מִסְמָך")</f>
        <v>מִסְמָך</v>
      </c>
      <c r="N392" s="4" t="str">
        <f>IFERROR(__xludf.DUMMYFUNCTION("GOOGLETRANSLATE(B392,""en"",""bn"")"),"দলিল")</f>
        <v>দলিল</v>
      </c>
      <c r="O392" s="4" t="str">
        <f>IFERROR(__xludf.DUMMYFUNCTION("GOOGLETRANSLATE(B392,""en"",""pt"")"),"Documento")</f>
        <v>Documento</v>
      </c>
    </row>
    <row r="393">
      <c r="A393" s="35" t="s">
        <v>1004</v>
      </c>
      <c r="B393" s="36" t="s">
        <v>1005</v>
      </c>
      <c r="C393" s="4" t="str">
        <f>IFERROR(__xludf.DUMMYFUNCTION("GOOGLETRANSLATE(B393,""en"",""hi"")"),"अपना फोटो और लाइसेंस अपलोड करें")</f>
        <v>अपना फोटो और लाइसेंस अपलोड करें</v>
      </c>
      <c r="D393" s="4" t="str">
        <f>IFERROR(__xludf.DUMMYFUNCTION("GOOGLETRANSLATE(B393,""en"",""ar"")"),"قم بتحميل صورتك ورخصتك")</f>
        <v>قم بتحميل صورتك ورخصتك</v>
      </c>
      <c r="E393" s="4" t="str">
        <f>IFERROR(__xludf.DUMMYFUNCTION("GOOGLETRANSLATE(B393,""en"",""fr"")"),"Téléchargez votre photo et votre permis")</f>
        <v>Téléchargez votre photo et votre permis</v>
      </c>
      <c r="F393" s="4" t="str">
        <f>IFERROR(__xludf.DUMMYFUNCTION("GOOGLETRANSLATE(B393,""en"",""tr"")"),"Fotoğrafınızı ve Lisansınızı yükleyin")</f>
        <v>Fotoğrafınızı ve Lisansınızı yükleyin</v>
      </c>
      <c r="G393" s="4" t="str">
        <f>IFERROR(__xludf.DUMMYFUNCTION("GOOGLETRANSLATE(B393,""en"",""ru"")"),"Загрузите свою фотографию и лицензию")</f>
        <v>Загрузите свою фотографию и лицензию</v>
      </c>
      <c r="H393" s="4" t="str">
        <f>IFERROR(__xludf.DUMMYFUNCTION("GOOGLETRANSLATE(B393,""en"",""it"")"),"Carica la tua foto e la tua patente")</f>
        <v>Carica la tua foto e la tua patente</v>
      </c>
      <c r="I393" s="4" t="str">
        <f>IFERROR(__xludf.DUMMYFUNCTION("GOOGLETRANSLATE(B393,""en"",""de"")"),"Laden Sie Ihr Foto und Ihre Lizenz hoch")</f>
        <v>Laden Sie Ihr Foto und Ihre Lizenz hoch</v>
      </c>
      <c r="J393" s="4" t="str">
        <f>IFERROR(__xludf.DUMMYFUNCTION("GOOGLETRANSLATE(B393,""en"",""ko"")"),"사진과 라이센스를 업로드하세요")</f>
        <v>사진과 라이센스를 업로드하세요</v>
      </c>
      <c r="K393" s="4" t="str">
        <f>IFERROR(__xludf.DUMMYFUNCTION("GOOGLETRANSLATE(B393,""en"",""zh"")"),"上传您的照片和驾照")</f>
        <v>上传您的照片和驾照</v>
      </c>
      <c r="L393" s="4" t="str">
        <f>IFERROR(__xludf.DUMMYFUNCTION("GOOGLETRANSLATE(B393,""en"",""es"")"),"Sube tu foto y Licencia")</f>
        <v>Sube tu foto y Licencia</v>
      </c>
      <c r="M393" s="4" t="str">
        <f>IFERROR(__xludf.DUMMYFUNCTION("GOOGLETRANSLATE(B393,""en"",""iw"")"),"העלה את התמונה והרישיון שלך")</f>
        <v>העלה את התמונה והרישיון שלך</v>
      </c>
      <c r="N393" s="4" t="str">
        <f>IFERROR(__xludf.DUMMYFUNCTION("GOOGLETRANSLATE(B393,""en"",""bn"")"),"আপনার ছবি এবং লাইসেন্স আপলোড করুন")</f>
        <v>আপনার ছবি এবং লাইসেন্স আপলোড করুন</v>
      </c>
      <c r="O393" s="4" t="str">
        <f>IFERROR(__xludf.DUMMYFUNCTION("GOOGLETRANSLATE(B393,""en"",""pt"")"),"Carregue sua foto e licença")</f>
        <v>Carregue sua foto e licença</v>
      </c>
    </row>
    <row r="394">
      <c r="A394" s="35" t="s">
        <v>1006</v>
      </c>
      <c r="B394" s="36" t="s">
        <v>1007</v>
      </c>
      <c r="C394" s="4" t="str">
        <f>IFERROR(__xludf.DUMMYFUNCTION("GOOGLETRANSLATE(B394,""en"",""hi"")"),"तस्विर अपलोड करना")</f>
        <v>तस्विर अपलोड करना</v>
      </c>
      <c r="D394" s="4" t="str">
        <f>IFERROR(__xludf.DUMMYFUNCTION("GOOGLETRANSLATE(B394,""en"",""ar"")"),"تحميل الصورة")</f>
        <v>تحميل الصورة</v>
      </c>
      <c r="E394" s="4" t="str">
        <f>IFERROR(__xludf.DUMMYFUNCTION("GOOGLETRANSLATE(B394,""en"",""fr"")"),"Télécharger l'image")</f>
        <v>Télécharger l'image</v>
      </c>
      <c r="F394" s="4" t="str">
        <f>IFERROR(__xludf.DUMMYFUNCTION("GOOGLETRANSLATE(B394,""en"",""tr"")"),"Resim Yükle")</f>
        <v>Resim Yükle</v>
      </c>
      <c r="G394" s="4" t="str">
        <f>IFERROR(__xludf.DUMMYFUNCTION("GOOGLETRANSLATE(B394,""en"",""ru"")"),"Загрузить изображение")</f>
        <v>Загрузить изображение</v>
      </c>
      <c r="H394" s="4" t="str">
        <f>IFERROR(__xludf.DUMMYFUNCTION("GOOGLETRANSLATE(B394,""en"",""it"")"),"Carica immagine")</f>
        <v>Carica immagine</v>
      </c>
      <c r="I394" s="4" t="str">
        <f>IFERROR(__xludf.DUMMYFUNCTION("GOOGLETRANSLATE(B394,""en"",""de"")"),"Bild hochladen")</f>
        <v>Bild hochladen</v>
      </c>
      <c r="J394" s="4" t="str">
        <f>IFERROR(__xludf.DUMMYFUNCTION("GOOGLETRANSLATE(B394,""en"",""ko"")"),"이미지 업로드")</f>
        <v>이미지 업로드</v>
      </c>
      <c r="K394" s="4" t="str">
        <f>IFERROR(__xludf.DUMMYFUNCTION("GOOGLETRANSLATE(B394,""en"",""zh"")"),"上传图片")</f>
        <v>上传图片</v>
      </c>
      <c r="L394" s="4" t="str">
        <f>IFERROR(__xludf.DUMMYFUNCTION("GOOGLETRANSLATE(B394,""en"",""es"")"),"Subir imagen")</f>
        <v>Subir imagen</v>
      </c>
      <c r="M394" s="4" t="str">
        <f>IFERROR(__xludf.DUMMYFUNCTION("GOOGLETRANSLATE(B394,""en"",""iw"")"),"העלה תמונה")</f>
        <v>העלה תמונה</v>
      </c>
      <c r="N394" s="4" t="str">
        <f>IFERROR(__xludf.DUMMYFUNCTION("GOOGLETRANSLATE(B394,""en"",""bn"")"),"ছবি আপলোড করুন")</f>
        <v>ছবি আপলোড করুন</v>
      </c>
      <c r="O394" s="4" t="str">
        <f>IFERROR(__xludf.DUMMYFUNCTION("GOOGLETRANSLATE(B394,""en"",""pt"")"),"Carregar imagem")</f>
        <v>Carregar imagem</v>
      </c>
    </row>
    <row r="395">
      <c r="A395" s="35" t="s">
        <v>1008</v>
      </c>
      <c r="B395" s="36" t="s">
        <v>1009</v>
      </c>
      <c r="C395" s="4" t="str">
        <f>IFERROR(__xludf.DUMMYFUNCTION("GOOGLETRANSLATE(B395,""en"",""hi"")"),"समाप्ति तिथि")</f>
        <v>समाप्ति तिथि</v>
      </c>
      <c r="D395" s="4" t="str">
        <f>IFERROR(__xludf.DUMMYFUNCTION("GOOGLETRANSLATE(B395,""en"",""ar"")"),"تاريخ انتهاء الصلاحية")</f>
        <v>تاريخ انتهاء الصلاحية</v>
      </c>
      <c r="E395" s="4" t="str">
        <f>IFERROR(__xludf.DUMMYFUNCTION("GOOGLETRANSLATE(B395,""en"",""fr"")"),"Date d'expiration")</f>
        <v>Date d'expiration</v>
      </c>
      <c r="F395" s="4" t="str">
        <f>IFERROR(__xludf.DUMMYFUNCTION("GOOGLETRANSLATE(B395,""en"",""tr"")"),"Son kullanma tarihi")</f>
        <v>Son kullanma tarihi</v>
      </c>
      <c r="G395" s="4" t="str">
        <f>IFERROR(__xludf.DUMMYFUNCTION("GOOGLETRANSLATE(B395,""en"",""ru"")"),"Дата истечения срока действия")</f>
        <v>Дата истечения срока действия</v>
      </c>
      <c r="H395" s="4" t="str">
        <f>IFERROR(__xludf.DUMMYFUNCTION("GOOGLETRANSLATE(B395,""en"",""it"")"),"Data di scadenza")</f>
        <v>Data di scadenza</v>
      </c>
      <c r="I395" s="4" t="str">
        <f>IFERROR(__xludf.DUMMYFUNCTION("GOOGLETRANSLATE(B395,""en"",""de"")"),"Verfallsdatum")</f>
        <v>Verfallsdatum</v>
      </c>
      <c r="J395" s="4" t="str">
        <f>IFERROR(__xludf.DUMMYFUNCTION("GOOGLETRANSLATE(B395,""en"",""ko"")"),"만료일")</f>
        <v>만료일</v>
      </c>
      <c r="K395" s="4" t="str">
        <f>IFERROR(__xludf.DUMMYFUNCTION("GOOGLETRANSLATE(B395,""en"",""zh"")"),"到期日")</f>
        <v>到期日</v>
      </c>
      <c r="L395" s="4" t="str">
        <f>IFERROR(__xludf.DUMMYFUNCTION("GOOGLETRANSLATE(B395,""en"",""es"")"),"Fecha de caducidad")</f>
        <v>Fecha de caducidad</v>
      </c>
      <c r="M395" s="4" t="str">
        <f>IFERROR(__xludf.DUMMYFUNCTION("GOOGLETRANSLATE(B395,""en"",""iw"")"),"תאריך תפוגה")</f>
        <v>תאריך תפוגה</v>
      </c>
      <c r="N395" s="4" t="str">
        <f>IFERROR(__xludf.DUMMYFUNCTION("GOOGLETRANSLATE(B395,""en"",""bn"")"),"মেয়াদ শেষ হওয়ার তারিখ")</f>
        <v>মেয়াদ শেষ হওয়ার তারিখ</v>
      </c>
      <c r="O395" s="4" t="str">
        <f>IFERROR(__xludf.DUMMYFUNCTION("GOOGLETRANSLATE(B395,""en"",""pt"")"),"Data de validade")</f>
        <v>Data de validade</v>
      </c>
    </row>
    <row r="396">
      <c r="A396" s="35" t="s">
        <v>1010</v>
      </c>
      <c r="B396" s="36" t="s">
        <v>1011</v>
      </c>
      <c r="C396" s="4" t="str">
        <f>IFERROR(__xludf.DUMMYFUNCTION("GOOGLETRANSLATE(B396,""en"",""hi"")"),"समाप्ति तिथि चुनें")</f>
        <v>समाप्ति तिथि चुनें</v>
      </c>
      <c r="D396" s="4" t="str">
        <f>IFERROR(__xludf.DUMMYFUNCTION("GOOGLETRANSLATE(B396,""en"",""ar"")"),"اختر تاريخ انتهاء الصلاحية")</f>
        <v>اختر تاريخ انتهاء الصلاحية</v>
      </c>
      <c r="E396" s="4" t="str">
        <f>IFERROR(__xludf.DUMMYFUNCTION("GOOGLETRANSLATE(B396,""en"",""fr"")"),"Choisissez la date d'expiration")</f>
        <v>Choisissez la date d'expiration</v>
      </c>
      <c r="F396" s="4" t="str">
        <f>IFERROR(__xludf.DUMMYFUNCTION("GOOGLETRANSLATE(B396,""en"",""tr"")"),"Son Kullanma Tarihini Seçin")</f>
        <v>Son Kullanma Tarihini Seçin</v>
      </c>
      <c r="G396" s="4" t="str">
        <f>IFERROR(__xludf.DUMMYFUNCTION("GOOGLETRANSLATE(B396,""en"",""ru"")"),"Выберите дату истечения срока действия")</f>
        <v>Выберите дату истечения срока действия</v>
      </c>
      <c r="H396" s="4" t="str">
        <f>IFERROR(__xludf.DUMMYFUNCTION("GOOGLETRANSLATE(B396,""en"",""it"")"),"Scegli la data di scadenza")</f>
        <v>Scegli la data di scadenza</v>
      </c>
      <c r="I396" s="4" t="str">
        <f>IFERROR(__xludf.DUMMYFUNCTION("GOOGLETRANSLATE(B396,""en"",""de"")"),"Ablaufdatum auswählen")</f>
        <v>Ablaufdatum auswählen</v>
      </c>
      <c r="J396" s="4" t="str">
        <f>IFERROR(__xludf.DUMMYFUNCTION("GOOGLETRANSLATE(B396,""en"",""ko"")"),"만료일을 선택하세요")</f>
        <v>만료일을 선택하세요</v>
      </c>
      <c r="K396" s="4" t="str">
        <f>IFERROR(__xludf.DUMMYFUNCTION("GOOGLETRANSLATE(B396,""en"",""zh"")"),"选择到期日")</f>
        <v>选择到期日</v>
      </c>
      <c r="L396" s="4" t="str">
        <f>IFERROR(__xludf.DUMMYFUNCTION("GOOGLETRANSLATE(B396,""en"",""es"")"),"Elija la fecha de vencimiento")</f>
        <v>Elija la fecha de vencimiento</v>
      </c>
      <c r="M396" s="4" t="str">
        <f>IFERROR(__xludf.DUMMYFUNCTION("GOOGLETRANSLATE(B396,""en"",""iw"")"),"בחר תאריך תפוגה")</f>
        <v>בחר תאריך תפוגה</v>
      </c>
      <c r="N396" s="4" t="str">
        <f>IFERROR(__xludf.DUMMYFUNCTION("GOOGLETRANSLATE(B396,""en"",""bn"")"),"মেয়াদ শেষ হওয়ার তারিখ নির্বাচন করুন")</f>
        <v>মেয়াদ শেষ হওয়ার তারিখ নির্বাচন করুন</v>
      </c>
      <c r="O396" s="4" t="str">
        <f>IFERROR(__xludf.DUMMYFUNCTION("GOOGLETRANSLATE(B396,""en"",""pt"")"),"Escolha a data de validade")</f>
        <v>Escolha a data de validade</v>
      </c>
    </row>
    <row r="397">
      <c r="A397" s="35" t="s">
        <v>1012</v>
      </c>
      <c r="B397" s="36" t="s">
        <v>1013</v>
      </c>
      <c r="C397" s="4" t="str">
        <f>IFERROR(__xludf.DUMMYFUNCTION("GOOGLETRANSLATE(B397,""en"",""hi"")"),"कृपया आवश्यक जानकारी भरें")</f>
        <v>कृपया आवश्यक जानकारी भरें</v>
      </c>
      <c r="D397" s="4" t="str">
        <f>IFERROR(__xludf.DUMMYFUNCTION("GOOGLETRANSLATE(B397,""en"",""ar"")"),"الرجاء ملء المعلومات المطلوبة")</f>
        <v>الرجاء ملء المعلومات المطلوبة</v>
      </c>
      <c r="E397" s="4" t="str">
        <f>IFERROR(__xludf.DUMMYFUNCTION("GOOGLETRANSLATE(B397,""en"",""fr"")"),"Veuillez remplir les informations requises")</f>
        <v>Veuillez remplir les informations requises</v>
      </c>
      <c r="F397" s="4" t="str">
        <f>IFERROR(__xludf.DUMMYFUNCTION("GOOGLETRANSLATE(B397,""en"",""tr"")"),"Lütfen Gerekli Bilgileri Doldurun")</f>
        <v>Lütfen Gerekli Bilgileri Doldurun</v>
      </c>
      <c r="G397" s="4" t="str">
        <f>IFERROR(__xludf.DUMMYFUNCTION("GOOGLETRANSLATE(B397,""en"",""ru"")"),"Пожалуйста, заполните необходимую информацию")</f>
        <v>Пожалуйста, заполните необходимую информацию</v>
      </c>
      <c r="H397" s="4" t="str">
        <f>IFERROR(__xludf.DUMMYFUNCTION("GOOGLETRANSLATE(B397,""en"",""it"")"),"Si prega di compilare le informazioni richieste")</f>
        <v>Si prega di compilare le informazioni richieste</v>
      </c>
      <c r="I397" s="4" t="str">
        <f>IFERROR(__xludf.DUMMYFUNCTION("GOOGLETRANSLATE(B397,""en"",""de"")"),"Bitte füllen Sie die erforderlichen Informationen aus")</f>
        <v>Bitte füllen Sie die erforderlichen Informationen aus</v>
      </c>
      <c r="J397" s="4" t="str">
        <f>IFERROR(__xludf.DUMMYFUNCTION("GOOGLETRANSLATE(B397,""en"",""ko"")"),"필수 정보를 입력해 주세요")</f>
        <v>필수 정보를 입력해 주세요</v>
      </c>
      <c r="K397" s="4" t="str">
        <f>IFERROR(__xludf.DUMMYFUNCTION("GOOGLETRANSLATE(B397,""en"",""zh"")"),"请填写必填信息")</f>
        <v>请填写必填信息</v>
      </c>
      <c r="L397" s="4" t="str">
        <f>IFERROR(__xludf.DUMMYFUNCTION("GOOGLETRANSLATE(B397,""en"",""es"")"),"Por favor complete la información requerida")</f>
        <v>Por favor complete la información requerida</v>
      </c>
      <c r="M397" s="4" t="str">
        <f>IFERROR(__xludf.DUMMYFUNCTION("GOOGLETRANSLATE(B397,""en"",""iw"")"),"נא למלא את המידע הנדרש")</f>
        <v>נא למלא את המידע הנדרש</v>
      </c>
      <c r="N397" s="4" t="str">
        <f>IFERROR(__xludf.DUMMYFUNCTION("GOOGLETRANSLATE(B397,""en"",""bn"")"),"অনুগ্রহ করে প্রয়োজনীয় তথ্য পূরণ করুন")</f>
        <v>অনুগ্রহ করে প্রয়োজনীয় তথ্য পূরণ করুন</v>
      </c>
      <c r="O397" s="4" t="str">
        <f>IFERROR(__xludf.DUMMYFUNCTION("GOOGLETRANSLATE(B397,""en"",""pt"")"),"Por favor, preencha as informações necessárias")</f>
        <v>Por favor, preencha as informações necessárias</v>
      </c>
    </row>
    <row r="398">
      <c r="A398" s="35" t="s">
        <v>1014</v>
      </c>
      <c r="B398" s="36" t="s">
        <v>1015</v>
      </c>
      <c r="C398" s="4" t="str">
        <f>IFERROR(__xludf.DUMMYFUNCTION("GOOGLETRANSLATE(B398,""en"",""hi"")"),"कृपया छवि चुनें")</f>
        <v>कृपया छवि चुनें</v>
      </c>
      <c r="D398" s="4" t="str">
        <f>IFERROR(__xludf.DUMMYFUNCTION("GOOGLETRANSLATE(B398,""en"",""ar"")"),"الرجاء اختيار الصورة")</f>
        <v>الرجاء اختيار الصورة</v>
      </c>
      <c r="E398" s="4" t="str">
        <f>IFERROR(__xludf.DUMMYFUNCTION("GOOGLETRANSLATE(B398,""en"",""fr"")"),"veuillez choisir l'image")</f>
        <v>veuillez choisir l'image</v>
      </c>
      <c r="F398" s="4" t="str">
        <f>IFERROR(__xludf.DUMMYFUNCTION("GOOGLETRANSLATE(B398,""en"",""tr"")"),"lütfen görseli seçin")</f>
        <v>lütfen görseli seçin</v>
      </c>
      <c r="G398" s="4" t="str">
        <f>IFERROR(__xludf.DUMMYFUNCTION("GOOGLETRANSLATE(B398,""en"",""ru"")"),"пожалуйста, выберите изображение")</f>
        <v>пожалуйста, выберите изображение</v>
      </c>
      <c r="H398" s="4" t="str">
        <f>IFERROR(__xludf.DUMMYFUNCTION("GOOGLETRANSLATE(B398,""en"",""it"")"),"per favore scegli l'immagine")</f>
        <v>per favore scegli l'immagine</v>
      </c>
      <c r="I398" s="4" t="str">
        <f>IFERROR(__xludf.DUMMYFUNCTION("GOOGLETRANSLATE(B398,""en"",""de"")"),"bitte Bild auswählen")</f>
        <v>bitte Bild auswählen</v>
      </c>
      <c r="J398" s="4" t="str">
        <f>IFERROR(__xludf.DUMMYFUNCTION("GOOGLETRANSLATE(B398,""en"",""ko"")"),"이미지를 선택해주세요")</f>
        <v>이미지를 선택해주세요</v>
      </c>
      <c r="K398" s="4" t="str">
        <f>IFERROR(__xludf.DUMMYFUNCTION("GOOGLETRANSLATE(B398,""en"",""zh"")"),"请选择图片")</f>
        <v>请选择图片</v>
      </c>
      <c r="L398" s="4" t="str">
        <f>IFERROR(__xludf.DUMMYFUNCTION("GOOGLETRANSLATE(B398,""en"",""es"")"),"Por favor, elija una imagen")</f>
        <v>Por favor, elija una imagen</v>
      </c>
      <c r="M398" s="4" t="str">
        <f>IFERROR(__xludf.DUMMYFUNCTION("GOOGLETRANSLATE(B398,""en"",""iw"")"),"נא לבחור תמונה")</f>
        <v>נא לבחור תמונה</v>
      </c>
      <c r="N398" s="4" t="str">
        <f>IFERROR(__xludf.DUMMYFUNCTION("GOOGLETRANSLATE(B398,""en"",""bn"")"),"ছবি নির্বাচন করুন")</f>
        <v>ছবি নির্বাচন করুন</v>
      </c>
      <c r="O398" s="4" t="str">
        <f>IFERROR(__xludf.DUMMYFUNCTION("GOOGLETRANSLATE(B398,""en"",""pt"")"),"por favor escolha a imagem")</f>
        <v>por favor escolha a imagem</v>
      </c>
    </row>
    <row r="399">
      <c r="A399" s="35" t="s">
        <v>1016</v>
      </c>
      <c r="B399" s="36" t="s">
        <v>1017</v>
      </c>
      <c r="C399" s="4" t="str">
        <f>IFERROR(__xludf.DUMMYFUNCTION("GOOGLETRANSLATE(B399,""en"",""hi"")"),"कार का प्रकार")</f>
        <v>कार का प्रकार</v>
      </c>
      <c r="D399" s="4" t="str">
        <f>IFERROR(__xludf.DUMMYFUNCTION("GOOGLETRANSLATE(B399,""en"",""ar"")"),"نوع السيارة")</f>
        <v>نوع السيارة</v>
      </c>
      <c r="E399" s="4" t="str">
        <f>IFERROR(__xludf.DUMMYFUNCTION("GOOGLETRANSLATE(B399,""en"",""fr"")"),"Type de voiture")</f>
        <v>Type de voiture</v>
      </c>
      <c r="F399" s="4" t="str">
        <f>IFERROR(__xludf.DUMMYFUNCTION("GOOGLETRANSLATE(B399,""en"",""tr"")"),"Araba Tipi")</f>
        <v>Araba Tipi</v>
      </c>
      <c r="G399" s="4" t="str">
        <f>IFERROR(__xludf.DUMMYFUNCTION("GOOGLETRANSLATE(B399,""en"",""ru"")"),"Тип автомобиля")</f>
        <v>Тип автомобиля</v>
      </c>
      <c r="H399" s="4" t="str">
        <f>IFERROR(__xludf.DUMMYFUNCTION("GOOGLETRANSLATE(B399,""en"",""it"")"),"Tipo di auto")</f>
        <v>Tipo di auto</v>
      </c>
      <c r="I399" s="4" t="str">
        <f>IFERROR(__xludf.DUMMYFUNCTION("GOOGLETRANSLATE(B399,""en"",""de"")"),"Auto Typ")</f>
        <v>Auto Typ</v>
      </c>
      <c r="J399" s="4" t="str">
        <f>IFERROR(__xludf.DUMMYFUNCTION("GOOGLETRANSLATE(B399,""en"",""ko"")"),"자동차 유형")</f>
        <v>자동차 유형</v>
      </c>
      <c r="K399" s="4" t="str">
        <f>IFERROR(__xludf.DUMMYFUNCTION("GOOGLETRANSLATE(B399,""en"",""zh"")"),"车型")</f>
        <v>车型</v>
      </c>
      <c r="L399" s="4" t="str">
        <f>IFERROR(__xludf.DUMMYFUNCTION("GOOGLETRANSLATE(B399,""en"",""es"")"),"Tipo de coche")</f>
        <v>Tipo de coche</v>
      </c>
      <c r="M399" s="4" t="str">
        <f>IFERROR(__xludf.DUMMYFUNCTION("GOOGLETRANSLATE(B399,""en"",""iw"")"),"סוג רכב")</f>
        <v>סוג רכב</v>
      </c>
      <c r="N399" s="4" t="str">
        <f>IFERROR(__xludf.DUMMYFUNCTION("GOOGLETRANSLATE(B399,""en"",""bn"")"),"গাড়ির ধরন")</f>
        <v>গাড়ির ধরন</v>
      </c>
      <c r="O399" s="4" t="str">
        <f>IFERROR(__xludf.DUMMYFUNCTION("GOOGLETRANSLATE(B399,""en"",""pt"")"),"Tipo de carro")</f>
        <v>Tipo de carro</v>
      </c>
    </row>
    <row r="400">
      <c r="A400" s="38" t="s">
        <v>1018</v>
      </c>
      <c r="B400" s="39" t="s">
        <v>1019</v>
      </c>
      <c r="C400" s="4" t="str">
        <f>IFERROR(__xludf.DUMMYFUNCTION("GOOGLETRANSLATE(B400,""en"",""hi"")"),"नाम बनाओ")</f>
        <v>नाम बनाओ</v>
      </c>
      <c r="D400" s="4" t="str">
        <f>IFERROR(__xludf.DUMMYFUNCTION("GOOGLETRANSLATE(B400,""en"",""ar"")"),"اصنع اسمًا")</f>
        <v>اصنع اسمًا</v>
      </c>
      <c r="E400" s="4" t="str">
        <f>IFERROR(__xludf.DUMMYFUNCTION("GOOGLETRANSLATE(B400,""en"",""fr"")"),"Faire un nom")</f>
        <v>Faire un nom</v>
      </c>
      <c r="F400" s="4" t="str">
        <f>IFERROR(__xludf.DUMMYFUNCTION("GOOGLETRANSLATE(B400,""en"",""tr"")"),"İsim Yap")</f>
        <v>İsim Yap</v>
      </c>
      <c r="G400" s="4" t="str">
        <f>IFERROR(__xludf.DUMMYFUNCTION("GOOGLETRANSLATE(B400,""en"",""ru"")"),"Сделать Имя")</f>
        <v>Сделать Имя</v>
      </c>
      <c r="H400" s="4" t="str">
        <f>IFERROR(__xludf.DUMMYFUNCTION("GOOGLETRANSLATE(B400,""en"",""it"")"),"Crea un nome")</f>
        <v>Crea un nome</v>
      </c>
      <c r="I400" s="4" t="str">
        <f>IFERROR(__xludf.DUMMYFUNCTION("GOOGLETRANSLATE(B400,""en"",""de"")"),"Name erstellen")</f>
        <v>Name erstellen</v>
      </c>
      <c r="J400" s="4" t="str">
        <f>IFERROR(__xludf.DUMMYFUNCTION("GOOGLETRANSLATE(B400,""en"",""ko"")"),"이름을 만드세요")</f>
        <v>이름을 만드세요</v>
      </c>
      <c r="K400" s="4" t="str">
        <f>IFERROR(__xludf.DUMMYFUNCTION("GOOGLETRANSLATE(B400,""en"",""zh"")"),"命名")</f>
        <v>命名</v>
      </c>
      <c r="L400" s="4" t="str">
        <f>IFERROR(__xludf.DUMMYFUNCTION("GOOGLETRANSLATE(B400,""en"",""es"")"),"Hacer nombre")</f>
        <v>Hacer nombre</v>
      </c>
      <c r="M400" s="4" t="str">
        <f>IFERROR(__xludf.DUMMYFUNCTION("GOOGLETRANSLATE(B400,""en"",""iw"")"),"עשה שם")</f>
        <v>עשה שם</v>
      </c>
      <c r="N400" s="4" t="str">
        <f>IFERROR(__xludf.DUMMYFUNCTION("GOOGLETRANSLATE(B400,""en"",""bn"")"),"নাম করুন")</f>
        <v>নাম করুন</v>
      </c>
      <c r="O400" s="4" t="str">
        <f>IFERROR(__xludf.DUMMYFUNCTION("GOOGLETRANSLATE(B400,""en"",""pt"")"),"Faça o nome")</f>
        <v>Faça o nome</v>
      </c>
    </row>
    <row r="401">
      <c r="A401" s="38" t="s">
        <v>1020</v>
      </c>
      <c r="B401" s="39" t="s">
        <v>1021</v>
      </c>
      <c r="C401" s="4" t="str">
        <f>IFERROR(__xludf.DUMMYFUNCTION("GOOGLETRANSLATE(B401,""en"",""hi"")"),"मॉडल नाम")</f>
        <v>मॉडल नाम</v>
      </c>
      <c r="D401" s="4" t="str">
        <f>IFERROR(__xludf.DUMMYFUNCTION("GOOGLETRANSLATE(B401,""en"",""ar"")"),"اسم الموديل")</f>
        <v>اسم الموديل</v>
      </c>
      <c r="E401" s="4" t="str">
        <f>IFERROR(__xludf.DUMMYFUNCTION("GOOGLETRANSLATE(B401,""en"",""fr"")"),"Nom du modèle")</f>
        <v>Nom du modèle</v>
      </c>
      <c r="F401" s="4" t="str">
        <f>IFERROR(__xludf.DUMMYFUNCTION("GOOGLETRANSLATE(B401,""en"",""tr"")"),"Model Adı")</f>
        <v>Model Adı</v>
      </c>
      <c r="G401" s="4" t="str">
        <f>IFERROR(__xludf.DUMMYFUNCTION("GOOGLETRANSLATE(B401,""en"",""ru"")"),"Название модели")</f>
        <v>Название модели</v>
      </c>
      <c r="H401" s="4" t="str">
        <f>IFERROR(__xludf.DUMMYFUNCTION("GOOGLETRANSLATE(B401,""en"",""it"")"),"Nome del modello")</f>
        <v>Nome del modello</v>
      </c>
      <c r="I401" s="4" t="str">
        <f>IFERROR(__xludf.DUMMYFUNCTION("GOOGLETRANSLATE(B401,""en"",""de"")"),"Modellname")</f>
        <v>Modellname</v>
      </c>
      <c r="J401" s="4" t="str">
        <f>IFERROR(__xludf.DUMMYFUNCTION("GOOGLETRANSLATE(B401,""en"",""ko"")"),"모델명")</f>
        <v>모델명</v>
      </c>
      <c r="K401" s="4" t="str">
        <f>IFERROR(__xludf.DUMMYFUNCTION("GOOGLETRANSLATE(B401,""en"",""zh"")"),"型号名称")</f>
        <v>型号名称</v>
      </c>
      <c r="L401" s="4" t="str">
        <f>IFERROR(__xludf.DUMMYFUNCTION("GOOGLETRANSLATE(B401,""en"",""es"")"),"Nombre del modelo")</f>
        <v>Nombre del modelo</v>
      </c>
      <c r="M401" s="4" t="str">
        <f>IFERROR(__xludf.DUMMYFUNCTION("GOOGLETRANSLATE(B401,""en"",""iw"")"),"שם הדגם")</f>
        <v>שם הדגם</v>
      </c>
      <c r="N401" s="4" t="str">
        <f>IFERROR(__xludf.DUMMYFUNCTION("GOOGLETRANSLATE(B401,""en"",""bn"")"),"মডেলের নাম")</f>
        <v>মডেলের নাম</v>
      </c>
      <c r="O401" s="4" t="str">
        <f>IFERROR(__xludf.DUMMYFUNCTION("GOOGLETRANSLATE(B401,""en"",""pt"")"),"Nome do modelo")</f>
        <v>Nome do modelo</v>
      </c>
    </row>
    <row r="402">
      <c r="A402" s="38" t="s">
        <v>1022</v>
      </c>
      <c r="B402" s="22" t="s">
        <v>1023</v>
      </c>
      <c r="C402" s="4" t="str">
        <f>IFERROR(__xludf.DUMMYFUNCTION("GOOGLETRANSLATE(B402,""en"",""hi"")"),"मॉडल वर्ष")</f>
        <v>मॉडल वर्ष</v>
      </c>
      <c r="D402" s="4" t="str">
        <f>IFERROR(__xludf.DUMMYFUNCTION("GOOGLETRANSLATE(B402,""en"",""ar"")"),"سنة الموديل")</f>
        <v>سنة الموديل</v>
      </c>
      <c r="E402" s="4" t="str">
        <f>IFERROR(__xludf.DUMMYFUNCTION("GOOGLETRANSLATE(B402,""en"",""fr"")"),"Année du modèle")</f>
        <v>Année du modèle</v>
      </c>
      <c r="F402" s="4" t="str">
        <f>IFERROR(__xludf.DUMMYFUNCTION("GOOGLETRANSLATE(B402,""en"",""tr"")"),"Model Yılı")</f>
        <v>Model Yılı</v>
      </c>
      <c r="G402" s="4" t="str">
        <f>IFERROR(__xludf.DUMMYFUNCTION("GOOGLETRANSLATE(B402,""en"",""ru"")"),"Модельный год")</f>
        <v>Модельный год</v>
      </c>
      <c r="H402" s="4" t="str">
        <f>IFERROR(__xludf.DUMMYFUNCTION("GOOGLETRANSLATE(B402,""en"",""it"")"),"Anno del modello")</f>
        <v>Anno del modello</v>
      </c>
      <c r="I402" s="4" t="str">
        <f>IFERROR(__xludf.DUMMYFUNCTION("GOOGLETRANSLATE(B402,""en"",""de"")"),"Modelljahr")</f>
        <v>Modelljahr</v>
      </c>
      <c r="J402" s="4" t="str">
        <f>IFERROR(__xludf.DUMMYFUNCTION("GOOGLETRANSLATE(B402,""en"",""ko"")"),"모델 연도")</f>
        <v>모델 연도</v>
      </c>
      <c r="K402" s="4" t="str">
        <f>IFERROR(__xludf.DUMMYFUNCTION("GOOGLETRANSLATE(B402,""en"",""zh"")"),"车型年份")</f>
        <v>车型年份</v>
      </c>
      <c r="L402" s="4" t="str">
        <f>IFERROR(__xludf.DUMMYFUNCTION("GOOGLETRANSLATE(B402,""en"",""es"")"),"Año del modelo")</f>
        <v>Año del modelo</v>
      </c>
      <c r="M402" s="4" t="str">
        <f>IFERROR(__xludf.DUMMYFUNCTION("GOOGLETRANSLATE(B402,""en"",""iw"")"),"שנת דגם")</f>
        <v>שנת דגם</v>
      </c>
      <c r="N402" s="4" t="str">
        <f>IFERROR(__xludf.DUMMYFUNCTION("GOOGLETRANSLATE(B402,""en"",""bn"")"),"মডেল বছর")</f>
        <v>মডেল বছর</v>
      </c>
      <c r="O402" s="4" t="str">
        <f>IFERROR(__xludf.DUMMYFUNCTION("GOOGLETRANSLATE(B402,""en"",""pt"")"),"Ano do modelo")</f>
        <v>Ano do modelo</v>
      </c>
    </row>
    <row r="403">
      <c r="A403" s="38" t="s">
        <v>1024</v>
      </c>
      <c r="B403" s="39" t="s">
        <v>1025</v>
      </c>
      <c r="C403" s="4" t="str">
        <f>IFERROR(__xludf.DUMMYFUNCTION("GOOGLETRANSLATE(B403,""en"",""hi"")"),"वाहन मॉडल वर्ष दर्ज करें")</f>
        <v>वाहन मॉडल वर्ष दर्ज करें</v>
      </c>
      <c r="D403" s="4" t="str">
        <f>IFERROR(__xludf.DUMMYFUNCTION("GOOGLETRANSLATE(B403,""en"",""ar"")"),"أدخل سنة طراز السيارة")</f>
        <v>أدخل سنة طراز السيارة</v>
      </c>
      <c r="E403" s="4" t="str">
        <f>IFERROR(__xludf.DUMMYFUNCTION("GOOGLETRANSLATE(B403,""en"",""fr"")"),"Entrez l'année du modèle du véhicule")</f>
        <v>Entrez l'année du modèle du véhicule</v>
      </c>
      <c r="F403" s="4" t="str">
        <f>IFERROR(__xludf.DUMMYFUNCTION("GOOGLETRANSLATE(B403,""en"",""tr"")"),"Araç Model Yılı'nı girin")</f>
        <v>Araç Model Yılı'nı girin</v>
      </c>
      <c r="G403" s="4" t="str">
        <f>IFERROR(__xludf.DUMMYFUNCTION("GOOGLETRANSLATE(B403,""en"",""ru"")"),"Введите год выпуска автомобиля")</f>
        <v>Введите год выпуска автомобиля</v>
      </c>
      <c r="H403" s="4" t="str">
        <f>IFERROR(__xludf.DUMMYFUNCTION("GOOGLETRANSLATE(B403,""en"",""it"")"),"Inserisci l'anno del modello del veicolo")</f>
        <v>Inserisci l'anno del modello del veicolo</v>
      </c>
      <c r="I403" s="4" t="str">
        <f>IFERROR(__xludf.DUMMYFUNCTION("GOOGLETRANSLATE(B403,""en"",""de"")"),"Geben Sie das Modelljahr des Fahrzeugs ein")</f>
        <v>Geben Sie das Modelljahr des Fahrzeugs ein</v>
      </c>
      <c r="J403" s="4" t="str">
        <f>IFERROR(__xludf.DUMMYFUNCTION("GOOGLETRANSLATE(B403,""en"",""ko"")"),"차량 모델 연도를 입력하세요")</f>
        <v>차량 모델 연도를 입력하세요</v>
      </c>
      <c r="K403" s="4" t="str">
        <f>IFERROR(__xludf.DUMMYFUNCTION("GOOGLETRANSLATE(B403,""en"",""zh"")"),"输入车辆型号年份")</f>
        <v>输入车辆型号年份</v>
      </c>
      <c r="L403" s="4" t="str">
        <f>IFERROR(__xludf.DUMMYFUNCTION("GOOGLETRANSLATE(B403,""en"",""es"")"),"Ingrese el año del modelo del vehículo")</f>
        <v>Ingrese el año del modelo del vehículo</v>
      </c>
      <c r="M403" s="4" t="str">
        <f>IFERROR(__xludf.DUMMYFUNCTION("GOOGLETRANSLATE(B403,""en"",""iw"")"),"הזן שנת דגם רכב")</f>
        <v>הזן שנת דגם רכב</v>
      </c>
      <c r="N403" s="4" t="str">
        <f>IFERROR(__xludf.DUMMYFUNCTION("GOOGLETRANSLATE(B403,""en"",""bn"")"),"যানবাহনের মডেল বছর লিখুন")</f>
        <v>যানবাহনের মডেল বছর লিখুন</v>
      </c>
      <c r="O403" s="4" t="str">
        <f>IFERROR(__xludf.DUMMYFUNCTION("GOOGLETRANSLATE(B403,""en"",""pt"")"),"Digite o ano do modelo do veículo")</f>
        <v>Digite o ano do modelo do veículo</v>
      </c>
    </row>
    <row r="404">
      <c r="A404" s="38" t="s">
        <v>1026</v>
      </c>
      <c r="B404" s="39" t="s">
        <v>1027</v>
      </c>
      <c r="C404" s="4" t="str">
        <f>IFERROR(__xludf.DUMMYFUNCTION("GOOGLETRANSLATE(B404,""en"",""hi"")"),"कृपया मान्य तिथि दर्ज करें")</f>
        <v>कृपया मान्य तिथि दर्ज करें</v>
      </c>
      <c r="D404" s="4" t="str">
        <f>IFERROR(__xludf.DUMMYFUNCTION("GOOGLETRANSLATE(B404,""en"",""ar"")"),"الرجاء إدخال تاريخ صالح")</f>
        <v>الرجاء إدخال تاريخ صالح</v>
      </c>
      <c r="E404" s="4" t="str">
        <f>IFERROR(__xludf.DUMMYFUNCTION("GOOGLETRANSLATE(B404,""en"",""fr"")"),"Veuillez saisir une date valide")</f>
        <v>Veuillez saisir une date valide</v>
      </c>
      <c r="F404" s="4" t="str">
        <f>IFERROR(__xludf.DUMMYFUNCTION("GOOGLETRANSLATE(B404,""en"",""tr"")"),"Lütfen Geçerli Bir Tarih Girin")</f>
        <v>Lütfen Geçerli Bir Tarih Girin</v>
      </c>
      <c r="G404" s="4" t="str">
        <f>IFERROR(__xludf.DUMMYFUNCTION("GOOGLETRANSLATE(B404,""en"",""ru"")"),"Пожалуйста, введите действительную дату")</f>
        <v>Пожалуйста, введите действительную дату</v>
      </c>
      <c r="H404" s="4" t="str">
        <f>IFERROR(__xludf.DUMMYFUNCTION("GOOGLETRANSLATE(B404,""en"",""it"")"),"Inserisci una data valida")</f>
        <v>Inserisci una data valida</v>
      </c>
      <c r="I404" s="4" t="str">
        <f>IFERROR(__xludf.DUMMYFUNCTION("GOOGLETRANSLATE(B404,""en"",""de"")"),"Bitte geben Sie ein gültiges Datum ein")</f>
        <v>Bitte geben Sie ein gültiges Datum ein</v>
      </c>
      <c r="J404" s="4" t="str">
        <f>IFERROR(__xludf.DUMMYFUNCTION("GOOGLETRANSLATE(B404,""en"",""ko"")"),"유효한 날짜를 입력하세요")</f>
        <v>유효한 날짜를 입력하세요</v>
      </c>
      <c r="K404" s="4" t="str">
        <f>IFERROR(__xludf.DUMMYFUNCTION("GOOGLETRANSLATE(B404,""en"",""zh"")"),"请输入有效日期")</f>
        <v>请输入有效日期</v>
      </c>
      <c r="L404" s="4" t="str">
        <f>IFERROR(__xludf.DUMMYFUNCTION("GOOGLETRANSLATE(B404,""en"",""es"")"),"Por favor ingrese una fecha válida")</f>
        <v>Por favor ingrese una fecha válida</v>
      </c>
      <c r="M404" s="4" t="str">
        <f>IFERROR(__xludf.DUMMYFUNCTION("GOOGLETRANSLATE(B404,""en"",""iw"")"),"נא להזין תאריך תקף")</f>
        <v>נא להזין תאריך תקף</v>
      </c>
      <c r="N404" s="4" t="str">
        <f>IFERROR(__xludf.DUMMYFUNCTION("GOOGLETRANSLATE(B404,""en"",""bn"")"),"বৈধ তারিখ লিখুন")</f>
        <v>বৈধ তারিখ লিখুন</v>
      </c>
      <c r="O404" s="4" t="str">
        <f>IFERROR(__xludf.DUMMYFUNCTION("GOOGLETRANSLATE(B404,""en"",""pt"")"),"Por favor, insira uma data válida")</f>
        <v>Por favor, insira uma data válida</v>
      </c>
    </row>
    <row r="405">
      <c r="A405" s="38" t="s">
        <v>1028</v>
      </c>
      <c r="B405" s="39" t="s">
        <v>1029</v>
      </c>
      <c r="C405" s="4" t="str">
        <f>IFERROR(__xludf.DUMMYFUNCTION("GOOGLETRANSLATE(B405,""en"",""hi"")"),"वाहन संख्या दर्ज करें")</f>
        <v>वाहन संख्या दर्ज करें</v>
      </c>
      <c r="D405" s="4" t="str">
        <f>IFERROR(__xludf.DUMMYFUNCTION("GOOGLETRANSLATE(B405,""en"",""ar"")"),"أدخل رقم السيارة")</f>
        <v>أدخل رقم السيارة</v>
      </c>
      <c r="E405" s="4" t="str">
        <f>IFERROR(__xludf.DUMMYFUNCTION("GOOGLETRANSLATE(B405,""en"",""fr"")"),"Entrez le numéro du véhicule")</f>
        <v>Entrez le numéro du véhicule</v>
      </c>
      <c r="F405" s="4" t="str">
        <f>IFERROR(__xludf.DUMMYFUNCTION("GOOGLETRANSLATE(B405,""en"",""tr"")"),"Araç Numarasını Girin")</f>
        <v>Araç Numarasını Girin</v>
      </c>
      <c r="G405" s="4" t="str">
        <f>IFERROR(__xludf.DUMMYFUNCTION("GOOGLETRANSLATE(B405,""en"",""ru"")"),"Введите номер автомобиля")</f>
        <v>Введите номер автомобиля</v>
      </c>
      <c r="H405" s="4" t="str">
        <f>IFERROR(__xludf.DUMMYFUNCTION("GOOGLETRANSLATE(B405,""en"",""it"")"),"Inserisci il numero del veicolo")</f>
        <v>Inserisci il numero del veicolo</v>
      </c>
      <c r="I405" s="4" t="str">
        <f>IFERROR(__xludf.DUMMYFUNCTION("GOOGLETRANSLATE(B405,""en"",""de"")"),"Fahrzeugnummer eingeben")</f>
        <v>Fahrzeugnummer eingeben</v>
      </c>
      <c r="J405" s="4" t="str">
        <f>IFERROR(__xludf.DUMMYFUNCTION("GOOGLETRANSLATE(B405,""en"",""ko"")"),"차량 번호를 입력하세요")</f>
        <v>차량 번호를 입력하세요</v>
      </c>
      <c r="K405" s="4" t="str">
        <f>IFERROR(__xludf.DUMMYFUNCTION("GOOGLETRANSLATE(B405,""en"",""zh"")"),"输入车辆号码")</f>
        <v>输入车辆号码</v>
      </c>
      <c r="L405" s="4" t="str">
        <f>IFERROR(__xludf.DUMMYFUNCTION("GOOGLETRANSLATE(B405,""en"",""es"")"),"Ingrese el número del vehículo")</f>
        <v>Ingrese el número del vehículo</v>
      </c>
      <c r="M405" s="4" t="str">
        <f>IFERROR(__xludf.DUMMYFUNCTION("GOOGLETRANSLATE(B405,""en"",""iw"")"),"הזן מספר רכב")</f>
        <v>הזן מספר רכב</v>
      </c>
      <c r="N405" s="4" t="str">
        <f>IFERROR(__xludf.DUMMYFUNCTION("GOOGLETRANSLATE(B405,""en"",""bn"")"),"যানবাহনের নম্বর লিখুন")</f>
        <v>যানবাহনের নম্বর লিখুন</v>
      </c>
      <c r="O405" s="4" t="str">
        <f>IFERROR(__xludf.DUMMYFUNCTION("GOOGLETRANSLATE(B405,""en"",""pt"")"),"Digite o número do veículo")</f>
        <v>Digite o número do veículo</v>
      </c>
    </row>
    <row r="406">
      <c r="A406" s="38" t="s">
        <v>1030</v>
      </c>
      <c r="B406" s="39" t="s">
        <v>1031</v>
      </c>
      <c r="C406" s="4" t="str">
        <f>IFERROR(__xludf.DUMMYFUNCTION("GOOGLETRANSLATE(B406,""en"",""hi"")"),"वाहन का रंग दर्ज करें")</f>
        <v>वाहन का रंग दर्ज करें</v>
      </c>
      <c r="D406" s="4" t="str">
        <f>IFERROR(__xludf.DUMMYFUNCTION("GOOGLETRANSLATE(B406,""en"",""ar"")"),"أدخل لون السيارة")</f>
        <v>أدخل لون السيارة</v>
      </c>
      <c r="E406" s="4" t="str">
        <f>IFERROR(__xludf.DUMMYFUNCTION("GOOGLETRANSLATE(B406,""en"",""fr"")"),"Entrez la couleur du véhicule")</f>
        <v>Entrez la couleur du véhicule</v>
      </c>
      <c r="F406" s="4" t="str">
        <f>IFERROR(__xludf.DUMMYFUNCTION("GOOGLETRANSLATE(B406,""en"",""tr"")"),"Araç Rengini Girin")</f>
        <v>Araç Rengini Girin</v>
      </c>
      <c r="G406" s="4" t="str">
        <f>IFERROR(__xludf.DUMMYFUNCTION("GOOGLETRANSLATE(B406,""en"",""ru"")"),"Введите цвет автомобиля")</f>
        <v>Введите цвет автомобиля</v>
      </c>
      <c r="H406" s="4" t="str">
        <f>IFERROR(__xludf.DUMMYFUNCTION("GOOGLETRANSLATE(B406,""en"",""it"")"),"Inserisci il colore del veicolo")</f>
        <v>Inserisci il colore del veicolo</v>
      </c>
      <c r="I406" s="4" t="str">
        <f>IFERROR(__xludf.DUMMYFUNCTION("GOOGLETRANSLATE(B406,""en"",""de"")"),"Fahrzeugfarbe eingeben")</f>
        <v>Fahrzeugfarbe eingeben</v>
      </c>
      <c r="J406" s="4" t="str">
        <f>IFERROR(__xludf.DUMMYFUNCTION("GOOGLETRANSLATE(B406,""en"",""ko"")"),"차량 색상 입력")</f>
        <v>차량 색상 입력</v>
      </c>
      <c r="K406" s="4" t="str">
        <f>IFERROR(__xludf.DUMMYFUNCTION("GOOGLETRANSLATE(B406,""en"",""zh"")"),"输入车辆颜色")</f>
        <v>输入车辆颜色</v>
      </c>
      <c r="L406" s="4" t="str">
        <f>IFERROR(__xludf.DUMMYFUNCTION("GOOGLETRANSLATE(B406,""en"",""es"")"),"Ingrese el color del vehículo")</f>
        <v>Ingrese el color del vehículo</v>
      </c>
      <c r="M406" s="4" t="str">
        <f>IFERROR(__xludf.DUMMYFUNCTION("GOOGLETRANSLATE(B406,""en"",""iw"")"),"הזן צבע רכב")</f>
        <v>הזן צבע רכב</v>
      </c>
      <c r="N406" s="4" t="str">
        <f>IFERROR(__xludf.DUMMYFUNCTION("GOOGLETRANSLATE(B406,""en"",""bn"")"),"যানবাহনের রঙ লিখুন")</f>
        <v>যানবাহনের রঙ লিখুন</v>
      </c>
      <c r="O406" s="4" t="str">
        <f>IFERROR(__xludf.DUMMYFUNCTION("GOOGLETRANSLATE(B406,""en"",""pt"")"),"Digite a cor do veículo")</f>
        <v>Digite a cor do veículo</v>
      </c>
    </row>
    <row r="407">
      <c r="A407" s="38" t="s">
        <v>1032</v>
      </c>
      <c r="B407" s="39" t="s">
        <v>1033</v>
      </c>
      <c r="C407" s="4" t="str">
        <f>IFERROR(__xludf.DUMMYFUNCTION("GOOGLETRANSLATE(B407,""en"",""hi"")"),"साइन आउट")</f>
        <v>साइन आउट</v>
      </c>
      <c r="D407" s="4" t="str">
        <f>IFERROR(__xludf.DUMMYFUNCTION("GOOGLETRANSLATE(B407,""en"",""ar"")"),"تسجيل الخروج")</f>
        <v>تسجيل الخروج</v>
      </c>
      <c r="E407" s="4" t="str">
        <f>IFERROR(__xludf.DUMMYFUNCTION("GOOGLETRANSLATE(B407,""en"",""fr"")"),"Se déconnecter")</f>
        <v>Se déconnecter</v>
      </c>
      <c r="F407" s="4" t="str">
        <f>IFERROR(__xludf.DUMMYFUNCTION("GOOGLETRANSLATE(B407,""en"",""tr"")"),"Oturumu Kapat")</f>
        <v>Oturumu Kapat</v>
      </c>
      <c r="G407" s="4" t="str">
        <f>IFERROR(__xludf.DUMMYFUNCTION("GOOGLETRANSLATE(B407,""en"",""ru"")"),"Выход")</f>
        <v>Выход</v>
      </c>
      <c r="H407" s="4" t="str">
        <f>IFERROR(__xludf.DUMMYFUNCTION("GOOGLETRANSLATE(B407,""en"",""it"")"),"Disconnessione")</f>
        <v>Disconnessione</v>
      </c>
      <c r="I407" s="4" t="str">
        <f>IFERROR(__xludf.DUMMYFUNCTION("GOOGLETRANSLATE(B407,""en"",""de"")"),"Abmelden")</f>
        <v>Abmelden</v>
      </c>
      <c r="J407" s="4" t="str">
        <f>IFERROR(__xludf.DUMMYFUNCTION("GOOGLETRANSLATE(B407,""en"",""ko"")"),"로그아웃")</f>
        <v>로그아웃</v>
      </c>
      <c r="K407" s="4" t="str">
        <f>IFERROR(__xludf.DUMMYFUNCTION("GOOGLETRANSLATE(B407,""en"",""zh"")"),"登出")</f>
        <v>登出</v>
      </c>
      <c r="L407" s="4" t="str">
        <f>IFERROR(__xludf.DUMMYFUNCTION("GOOGLETRANSLATE(B407,""en"",""es"")"),"Desconectar")</f>
        <v>Desconectar</v>
      </c>
      <c r="M407" s="4" t="str">
        <f>IFERROR(__xludf.DUMMYFUNCTION("GOOGLETRANSLATE(B407,""en"",""iw"")"),"צא")</f>
        <v>צא</v>
      </c>
      <c r="N407" s="4" t="str">
        <f>IFERROR(__xludf.DUMMYFUNCTION("GOOGLETRANSLATE(B407,""en"",""bn"")"),"সাইন আউট")</f>
        <v>সাইন আউট</v>
      </c>
      <c r="O407" s="4" t="str">
        <f>IFERROR(__xludf.DUMMYFUNCTION("GOOGLETRANSLATE(B407,""en"",""pt"")"),"Sair")</f>
        <v>Sair</v>
      </c>
    </row>
    <row r="408">
      <c r="A408" s="38" t="s">
        <v>1034</v>
      </c>
      <c r="B408" s="39" t="s">
        <v>1035</v>
      </c>
      <c r="C408" s="4" t="str">
        <f>IFERROR(__xludf.DUMMYFUNCTION("GOOGLETRANSLATE(B408,""en"",""hi"")"),"सहेजा गया पता")</f>
        <v>सहेजा गया पता</v>
      </c>
      <c r="D408" s="4" t="str">
        <f>IFERROR(__xludf.DUMMYFUNCTION("GOOGLETRANSLATE(B408,""en"",""ar"")"),"العنوان المحفوظ")</f>
        <v>العنوان المحفوظ</v>
      </c>
      <c r="E408" s="4" t="str">
        <f>IFERROR(__xludf.DUMMYFUNCTION("GOOGLETRANSLATE(B408,""en"",""fr"")"),"Adresse enregistrée")</f>
        <v>Adresse enregistrée</v>
      </c>
      <c r="F408" s="4" t="str">
        <f>IFERROR(__xludf.DUMMYFUNCTION("GOOGLETRANSLATE(B408,""en"",""tr"")"),"Kaydedilen Adres")</f>
        <v>Kaydedilen Adres</v>
      </c>
      <c r="G408" s="4" t="str">
        <f>IFERROR(__xludf.DUMMYFUNCTION("GOOGLETRANSLATE(B408,""en"",""ru"")"),"Сохраненный адрес")</f>
        <v>Сохраненный адрес</v>
      </c>
      <c r="H408" s="4" t="str">
        <f>IFERROR(__xludf.DUMMYFUNCTION("GOOGLETRANSLATE(B408,""en"",""it"")"),"Indirizzo salvato")</f>
        <v>Indirizzo salvato</v>
      </c>
      <c r="I408" s="4" t="str">
        <f>IFERROR(__xludf.DUMMYFUNCTION("GOOGLETRANSLATE(B408,""en"",""de"")"),"Gespeicherte Adresse")</f>
        <v>Gespeicherte Adresse</v>
      </c>
      <c r="J408" s="4" t="str">
        <f>IFERROR(__xludf.DUMMYFUNCTION("GOOGLETRANSLATE(B408,""en"",""ko"")"),"저장된 주소")</f>
        <v>저장된 주소</v>
      </c>
      <c r="K408" s="4" t="str">
        <f>IFERROR(__xludf.DUMMYFUNCTION("GOOGLETRANSLATE(B408,""en"",""zh"")"),"已保存的地址")</f>
        <v>已保存的地址</v>
      </c>
      <c r="L408" s="4" t="str">
        <f>IFERROR(__xludf.DUMMYFUNCTION("GOOGLETRANSLATE(B408,""en"",""es"")"),"Dirección guardada")</f>
        <v>Dirección guardada</v>
      </c>
      <c r="M408" s="4" t="str">
        <f>IFERROR(__xludf.DUMMYFUNCTION("GOOGLETRANSLATE(B408,""en"",""iw"")"),"כתובת שמורה")</f>
        <v>כתובת שמורה</v>
      </c>
      <c r="N408" s="4" t="str">
        <f>IFERROR(__xludf.DUMMYFUNCTION("GOOGLETRANSLATE(B408,""en"",""bn"")"),"সংরক্ষিত ঠিকানা")</f>
        <v>সংরক্ষিত ঠিকানা</v>
      </c>
      <c r="O408" s="4" t="str">
        <f>IFERROR(__xludf.DUMMYFUNCTION("GOOGLETRANSLATE(B408,""en"",""pt"")"),"Endereço salvo")</f>
        <v>Endereço salvo</v>
      </c>
    </row>
    <row r="409">
      <c r="A409" s="38" t="s">
        <v>1036</v>
      </c>
      <c r="B409" s="39" t="s">
        <v>1037</v>
      </c>
      <c r="C409" s="4" t="str">
        <f>IFERROR(__xludf.DUMMYFUNCTION("GOOGLETRANSLATE(B409,""en"",""hi"")"),"मेरे आदेश")</f>
        <v>मेरे आदेश</v>
      </c>
      <c r="D409" s="4" t="str">
        <f>IFERROR(__xludf.DUMMYFUNCTION("GOOGLETRANSLATE(B409,""en"",""ar"")"),"طلبياتي")</f>
        <v>طلبياتي</v>
      </c>
      <c r="E409" s="4" t="str">
        <f>IFERROR(__xludf.DUMMYFUNCTION("GOOGLETRANSLATE(B409,""en"",""fr"")"),"Mes commandes")</f>
        <v>Mes commandes</v>
      </c>
      <c r="F409" s="4" t="str">
        <f>IFERROR(__xludf.DUMMYFUNCTION("GOOGLETRANSLATE(B409,""en"",""tr"")"),"Siparişlerim")</f>
        <v>Siparişlerim</v>
      </c>
      <c r="G409" s="4" t="str">
        <f>IFERROR(__xludf.DUMMYFUNCTION("GOOGLETRANSLATE(B409,""en"",""ru"")"),"Мои заказы")</f>
        <v>Мои заказы</v>
      </c>
      <c r="H409" s="4" t="str">
        <f>IFERROR(__xludf.DUMMYFUNCTION("GOOGLETRANSLATE(B409,""en"",""it"")"),"I miei ordini")</f>
        <v>I miei ordini</v>
      </c>
      <c r="I409" s="4" t="str">
        <f>IFERROR(__xludf.DUMMYFUNCTION("GOOGLETRANSLATE(B409,""en"",""de"")"),"Meine Bestellungen")</f>
        <v>Meine Bestellungen</v>
      </c>
      <c r="J409" s="4" t="str">
        <f>IFERROR(__xludf.DUMMYFUNCTION("GOOGLETRANSLATE(B409,""en"",""ko"")"),"내 주문")</f>
        <v>내 주문</v>
      </c>
      <c r="K409" s="4" t="str">
        <f>IFERROR(__xludf.DUMMYFUNCTION("GOOGLETRANSLATE(B409,""en"",""zh"")"),"我的订单")</f>
        <v>我的订单</v>
      </c>
      <c r="L409" s="4" t="str">
        <f>IFERROR(__xludf.DUMMYFUNCTION("GOOGLETRANSLATE(B409,""en"",""es"")"),"Mis pedidos")</f>
        <v>Mis pedidos</v>
      </c>
      <c r="M409" s="4" t="str">
        <f>IFERROR(__xludf.DUMMYFUNCTION("GOOGLETRANSLATE(B409,""en"",""iw"")"),"ההזמנות שלי")</f>
        <v>ההזמנות שלי</v>
      </c>
      <c r="N409" s="4" t="str">
        <f>IFERROR(__xludf.DUMMYFUNCTION("GOOGLETRANSLATE(B409,""en"",""bn"")"),"আমার আদেশ")</f>
        <v>আমার আদেশ</v>
      </c>
      <c r="O409" s="4" t="str">
        <f>IFERROR(__xludf.DUMMYFUNCTION("GOOGLETRANSLATE(B409,""en"",""pt"")"),"Meus Pedidos")</f>
        <v>Meus Pedidos</v>
      </c>
    </row>
    <row r="410">
      <c r="A410" s="38" t="s">
        <v>1038</v>
      </c>
      <c r="B410" s="39" t="s">
        <v>1039</v>
      </c>
      <c r="C410" s="4" t="str">
        <f>IFERROR(__xludf.DUMMYFUNCTION("GOOGLETRANSLATE(B410,""en"",""hi"")"),"कुल")</f>
        <v>कुल</v>
      </c>
      <c r="D410" s="4" t="str">
        <f>IFERROR(__xludf.DUMMYFUNCTION("GOOGLETRANSLATE(B410,""en"",""ar"")"),"المجموع")</f>
        <v>المجموع</v>
      </c>
      <c r="E410" s="4" t="str">
        <f>IFERROR(__xludf.DUMMYFUNCTION("GOOGLETRANSLATE(B410,""en"",""fr"")"),"Total")</f>
        <v>Total</v>
      </c>
      <c r="F410" s="4" t="str">
        <f>IFERROR(__xludf.DUMMYFUNCTION("GOOGLETRANSLATE(B410,""en"",""tr"")"),"Toplam")</f>
        <v>Toplam</v>
      </c>
      <c r="G410" s="4" t="str">
        <f>IFERROR(__xludf.DUMMYFUNCTION("GOOGLETRANSLATE(B410,""en"",""ru"")"),"Общий")</f>
        <v>Общий</v>
      </c>
      <c r="H410" s="4" t="str">
        <f>IFERROR(__xludf.DUMMYFUNCTION("GOOGLETRANSLATE(B410,""en"",""it"")"),"Totale")</f>
        <v>Totale</v>
      </c>
      <c r="I410" s="4" t="str">
        <f>IFERROR(__xludf.DUMMYFUNCTION("GOOGLETRANSLATE(B410,""en"",""de"")"),"Gesamt")</f>
        <v>Gesamt</v>
      </c>
      <c r="J410" s="4" t="str">
        <f>IFERROR(__xludf.DUMMYFUNCTION("GOOGLETRANSLATE(B410,""en"",""ko"")"),"총")</f>
        <v>총</v>
      </c>
      <c r="K410" s="4" t="str">
        <f>IFERROR(__xludf.DUMMYFUNCTION("GOOGLETRANSLATE(B410,""en"",""zh"")"),"全部的")</f>
        <v>全部的</v>
      </c>
      <c r="L410" s="4" t="str">
        <f>IFERROR(__xludf.DUMMYFUNCTION("GOOGLETRANSLATE(B410,""en"",""es"")"),"Total")</f>
        <v>Total</v>
      </c>
      <c r="M410" s="4" t="str">
        <f>IFERROR(__xludf.DUMMYFUNCTION("GOOGLETRANSLATE(B410,""en"",""iw"")"),"סַך הַכֹּל")</f>
        <v>סַך הַכֹּל</v>
      </c>
      <c r="N410" s="4" t="str">
        <f>IFERROR(__xludf.DUMMYFUNCTION("GOOGLETRANSLATE(B410,""en"",""bn"")"),"মোট")</f>
        <v>মোট</v>
      </c>
      <c r="O410" s="4" t="str">
        <f>IFERROR(__xludf.DUMMYFUNCTION("GOOGLETRANSLATE(B410,""en"",""pt"")"),"Total")</f>
        <v>Total</v>
      </c>
    </row>
    <row r="411">
      <c r="A411" s="38" t="s">
        <v>1040</v>
      </c>
      <c r="B411" s="40" t="s">
        <v>1041</v>
      </c>
      <c r="C411" s="4" t="str">
        <f>IFERROR(__xludf.DUMMYFUNCTION("GOOGLETRANSLATE(B411,""en"",""hi"")"),"हम आपकी प्रोफ़ाइल का मूल्यांकन कर रहे हैं")</f>
        <v>हम आपकी प्रोफ़ाइल का मूल्यांकन कर रहे हैं</v>
      </c>
      <c r="D411" s="4" t="str">
        <f>IFERROR(__xludf.DUMMYFUNCTION("GOOGLETRANSLATE(B411,""en"",""ar"")"),"نحن نقوم بتقييم ملفك الشخصي")</f>
        <v>نحن نقوم بتقييم ملفك الشخصي</v>
      </c>
      <c r="E411" s="4" t="str">
        <f>IFERROR(__xludf.DUMMYFUNCTION("GOOGLETRANSLATE(B411,""en"",""fr"")"),"Nous évaluons votre profil")</f>
        <v>Nous évaluons votre profil</v>
      </c>
      <c r="F411" s="4" t="str">
        <f>IFERROR(__xludf.DUMMYFUNCTION("GOOGLETRANSLATE(B411,""en"",""tr"")"),"Profilinizi değerlendiriyoruz")</f>
        <v>Profilinizi değerlendiriyoruz</v>
      </c>
      <c r="G411" s="4" t="str">
        <f>IFERROR(__xludf.DUMMYFUNCTION("GOOGLETRANSLATE(B411,""en"",""ru"")"),"Мы оцениваем ваш профиль")</f>
        <v>Мы оцениваем ваш профиль</v>
      </c>
      <c r="H411" s="4" t="str">
        <f>IFERROR(__xludf.DUMMYFUNCTION("GOOGLETRANSLATE(B411,""en"",""it"")"),"Stiamo valutando il tuo profilo")</f>
        <v>Stiamo valutando il tuo profilo</v>
      </c>
      <c r="I411" s="4" t="str">
        <f>IFERROR(__xludf.DUMMYFUNCTION("GOOGLETRANSLATE(B411,""en"",""de"")"),"Wir evaluieren Ihr Profil")</f>
        <v>Wir evaluieren Ihr Profil</v>
      </c>
      <c r="J411" s="4" t="str">
        <f>IFERROR(__xludf.DUMMYFUNCTION("GOOGLETRANSLATE(B411,""en"",""ko"")"),"귀하의 프로필을 평가하고 있습니다")</f>
        <v>귀하의 프로필을 평가하고 있습니다</v>
      </c>
      <c r="K411" s="4" t="str">
        <f>IFERROR(__xludf.DUMMYFUNCTION("GOOGLETRANSLATE(B411,""en"",""zh"")"),"我们正在评估您的个人资料")</f>
        <v>我们正在评估您的个人资料</v>
      </c>
      <c r="L411" s="4" t="str">
        <f>IFERROR(__xludf.DUMMYFUNCTION("GOOGLETRANSLATE(B411,""en"",""es"")"),"Estamos evaluando tu perfil")</f>
        <v>Estamos evaluando tu perfil</v>
      </c>
      <c r="M411" s="4" t="str">
        <f>IFERROR(__xludf.DUMMYFUNCTION("GOOGLETRANSLATE(B411,""en"",""iw"")"),"אנחנו בוחנים את הפרופיל שלך")</f>
        <v>אנחנו בוחנים את הפרופיל שלך</v>
      </c>
      <c r="N411" s="4" t="str">
        <f>IFERROR(__xludf.DUMMYFUNCTION("GOOGLETRANSLATE(B411,""en"",""bn"")"),"আমরা আপনার প্রোফাইল মূল্যায়ন করা হয়")</f>
        <v>আমরা আপনার প্রোফাইল মূল্যায়ন করা হয়</v>
      </c>
      <c r="O411" s="4" t="str">
        <f>IFERROR(__xludf.DUMMYFUNCTION("GOOGLETRANSLATE(B411,""en"",""pt"")"),"Estamos avaliando seu perfil")</f>
        <v>Estamos avaliando seu perfil</v>
      </c>
    </row>
    <row r="412">
      <c r="A412" s="38" t="s">
        <v>1042</v>
      </c>
      <c r="B412" s="40" t="s">
        <v>1043</v>
      </c>
      <c r="C412" s="4" t="str">
        <f>IFERROR(__xludf.DUMMYFUNCTION("GOOGLETRANSLATE(B412,""en"",""hi"")"),"यह सुनिश्चित करने के लिए कि हमारा समुदाय एक मानक बनाए रखे, हम किसी भी प्रोफाइल को अंदर आने की अनुमति नहीं देते हैं।")</f>
        <v>यह सुनिश्चित करने के लिए कि हमारा समुदाय एक मानक बनाए रखे, हम किसी भी प्रोफाइल को अंदर आने की अनुमति नहीं देते हैं।</v>
      </c>
      <c r="D412" s="4" t="str">
        <f>IFERROR(__xludf.DUMMYFUNCTION("GOOGLETRANSLATE(B412,""en"",""ar"")"),"من أجل التأكد من أن مجتمعنا يفي بالمعايير، فإننا لا نسمح لأي ملفات تعريف بالدخول.")</f>
        <v>من أجل التأكد من أن مجتمعنا يفي بالمعايير، فإننا لا نسمح لأي ملفات تعريف بالدخول.</v>
      </c>
      <c r="E412" s="4" t="str">
        <f>IFERROR(__xludf.DUMMYFUNCTION("GOOGLETRANSLATE(B412,""en"",""fr"")"),"Afin de garantir que notre communauté respecte un standard, nous n'autorisons aucun profil à entrer.")</f>
        <v>Afin de garantir que notre communauté respecte un standard, nous n'autorisons aucun profil à entrer.</v>
      </c>
      <c r="F412" s="4" t="str">
        <f>IFERROR(__xludf.DUMMYFUNCTION("GOOGLETRANSLATE(B412,""en"",""tr"")"),"Topluluğumuzun belirli bir standardı koruduğundan emin olmak için hiçbir profilin içeri girmesine izin vermiyoruz.")</f>
        <v>Topluluğumuzun belirli bir standardı koruduğundan emin olmak için hiçbir profilin içeri girmesine izin vermiyoruz.</v>
      </c>
      <c r="G412" s="4" t="str">
        <f>IFERROR(__xludf.DUMMYFUNCTION("GOOGLETRANSLATE(B412,""en"",""ru"")"),"Чтобы убедиться, что наше сообщество соответствует стандартам, мы не допускаем к участию никаких профилей.")</f>
        <v>Чтобы убедиться, что наше сообщество соответствует стандартам, мы не допускаем к участию никаких профилей.</v>
      </c>
      <c r="H412" s="4" t="str">
        <f>IFERROR(__xludf.DUMMYFUNCTION("GOOGLETRANSLATE(B412,""en"",""it"")"),"Per garantire che la nostra community rispetti uno standard, non consentiamo l'accesso ad alcun profilo.")</f>
        <v>Per garantire che la nostra community rispetti uno standard, non consentiamo l'accesso ad alcun profilo.</v>
      </c>
      <c r="I412" s="4" t="str">
        <f>IFERROR(__xludf.DUMMYFUNCTION("GOOGLETRANSLATE(B412,""en"",""de"")"),"Um sicherzustellen, dass unsere Community einen bestimmten Standard aufrechterhält, lassen wir keinen beliebigen Profilen Zugang zu.")</f>
        <v>Um sicherzustellen, dass unsere Community einen bestimmten Standard aufrechterhält, lassen wir keinen beliebigen Profilen Zugang zu.</v>
      </c>
      <c r="J412" s="4" t="str">
        <f>IFERROR(__xludf.DUMMYFUNCTION("GOOGLETRANSLATE(B412,""en"",""ko"")"),"커뮤니티가 기준을 충족하는지 확인하기 위해 어떠한 프로필도 허용되지 않습니다.")</f>
        <v>커뮤니티가 기준을 충족하는지 확인하기 위해 어떠한 프로필도 허용되지 않습니다.</v>
      </c>
      <c r="K412" s="4" t="str">
        <f>IFERROR(__xludf.DUMMYFUNCTION("GOOGLETRANSLATE(B412,""en"",""zh"")"),"为了确保我们的社区保持标准，我们不允许任何个人资料进入。")</f>
        <v>为了确保我们的社区保持标准，我们不允许任何个人资料进入。</v>
      </c>
      <c r="L412" s="4" t="str">
        <f>IFERROR(__xludf.DUMMYFUNCTION("GOOGLETRANSLATE(B412,""en"",""es"")"),"Para asegurarnos de que nuestra comunidad mantenga un estándar, no permitimos que ningún perfil ingrese.")</f>
        <v>Para asegurarnos de que nuestra comunidad mantenga un estándar, no permitimos que ningún perfil ingrese.</v>
      </c>
      <c r="M412" s="4" t="str">
        <f>IFERROR(__xludf.DUMMYFUNCTION("GOOGLETRANSLATE(B412,""en"",""iw"")"),"על מנת לוודא שהקהילה שלנו עומדת בסטנדרטים, איננו מאפשרים לשום פרופיל להיכנס.")</f>
        <v>על מנת לוודא שהקהילה שלנו עומדת בסטנדרטים, איננו מאפשרים לשום פרופיל להיכנס.</v>
      </c>
      <c r="N412" s="4" t="str">
        <f>IFERROR(__xludf.DUMMYFUNCTION("GOOGLETRANSLATE(B412,""en"",""bn"")"),"আমাদের সম্প্রদায় একটি মান ধরে রেখেছে তা নিশ্চিত করার জন্য, আমরা কোনো প্রোফাইলে প্রবেশের অনুমতি দিই না।")</f>
        <v>আমাদের সম্প্রদায় একটি মান ধরে রেখেছে তা নিশ্চিত করার জন্য, আমরা কোনো প্রোফাইলে প্রবেশের অনুমতি দিই না।</v>
      </c>
      <c r="O412" s="4" t="str">
        <f>IFERROR(__xludf.DUMMYFUNCTION("GOOGLETRANSLATE(B412,""en"",""pt"")"),"Para garantir que nossa comunidade mantenha um padrão, não permitimos a entrada de nenhum perfil.")</f>
        <v>Para garantir que nossa comunidade mantenha um padrão, não permitimos a entrada de nenhum perfil.</v>
      </c>
    </row>
    <row r="413">
      <c r="A413" s="38" t="s">
        <v>1044</v>
      </c>
      <c r="B413" s="41" t="s">
        <v>1045</v>
      </c>
      <c r="C413" s="4" t="str">
        <f>IFERROR(__xludf.DUMMYFUNCTION("GOOGLETRANSLATE(B413,""en"",""hi"")"),"कृपया आवश्यक दस्तावेज़ पुनः अपलोड करें")</f>
        <v>कृपया आवश्यक दस्तावेज़ पुनः अपलोड करें</v>
      </c>
      <c r="D413" s="4" t="str">
        <f>IFERROR(__xludf.DUMMYFUNCTION("GOOGLETRANSLATE(B413,""en"",""ar"")"),"يرجى إعادة تحميل الوثيقة المطلوبة")</f>
        <v>يرجى إعادة تحميل الوثيقة المطلوبة</v>
      </c>
      <c r="E413" s="4" t="str">
        <f>IFERROR(__xludf.DUMMYFUNCTION("GOOGLETRANSLATE(B413,""en"",""fr"")"),"Veuillez télécharger à nouveau le document requis")</f>
        <v>Veuillez télécharger à nouveau le document requis</v>
      </c>
      <c r="F413" s="4" t="str">
        <f>IFERROR(__xludf.DUMMYFUNCTION("GOOGLETRANSLATE(B413,""en"",""tr"")"),"Lütfen gerekli belgeyi yeniden yükleyin")</f>
        <v>Lütfen gerekli belgeyi yeniden yükleyin</v>
      </c>
      <c r="G413" s="4" t="str">
        <f>IFERROR(__xludf.DUMMYFUNCTION("GOOGLETRANSLATE(B413,""en"",""ru"")"),"Пожалуйста, повторно загрузите требуемый документ.")</f>
        <v>Пожалуйста, повторно загрузите требуемый документ.</v>
      </c>
      <c r="H413" s="4" t="str">
        <f>IFERROR(__xludf.DUMMYFUNCTION("GOOGLETRANSLATE(B413,""en"",""it"")"),"Si prega di ricaricare il documento richiesto")</f>
        <v>Si prega di ricaricare il documento richiesto</v>
      </c>
      <c r="I413" s="4" t="str">
        <f>IFERROR(__xludf.DUMMYFUNCTION("GOOGLETRANSLATE(B413,""en"",""de"")"),"Bitte laden Sie das erforderliche Dokument erneut hoch")</f>
        <v>Bitte laden Sie das erforderliche Dokument erneut hoch</v>
      </c>
      <c r="J413" s="4" t="str">
        <f>IFERROR(__xludf.DUMMYFUNCTION("GOOGLETRANSLATE(B413,""en"",""ko"")"),"필수 서류를 다시 업로드해 주세요.")</f>
        <v>필수 서류를 다시 업로드해 주세요.</v>
      </c>
      <c r="K413" s="4" t="str">
        <f>IFERROR(__xludf.DUMMYFUNCTION("GOOGLETRANSLATE(B413,""en"",""zh"")"),"请重新上传所需文件")</f>
        <v>请重新上传所需文件</v>
      </c>
      <c r="L413" s="4" t="str">
        <f>IFERROR(__xludf.DUMMYFUNCTION("GOOGLETRANSLATE(B413,""en"",""es"")"),"Por favor vuelva a cargar el documento requerido.")</f>
        <v>Por favor vuelva a cargar el documento requerido.</v>
      </c>
      <c r="M413" s="4" t="str">
        <f>IFERROR(__xludf.DUMMYFUNCTION("GOOGLETRANSLATE(B413,""en"",""iw"")"),"אנא העלה מחדש את המסמך הנדרש")</f>
        <v>אנא העלה מחדש את המסמך הנדרש</v>
      </c>
      <c r="N413" s="4" t="str">
        <f>IFERROR(__xludf.DUMMYFUNCTION("GOOGLETRANSLATE(B413,""en"",""bn"")"),"অনুগ্রহ করে প্রয়োজনীয় নথিটি পুনরায় আপলোড করুন")</f>
        <v>অনুগ্রহ করে প্রয়োজনীয় নথিটি পুনরায় আপলোড করুন</v>
      </c>
      <c r="O413" s="4" t="str">
        <f>IFERROR(__xludf.DUMMYFUNCTION("GOOGLETRANSLATE(B413,""en"",""pt"")"),"Por favor, envie novamente o documento necessário")</f>
        <v>Por favor, envie novamente o documento necessário</v>
      </c>
    </row>
    <row r="414">
      <c r="A414" s="38" t="s">
        <v>1046</v>
      </c>
      <c r="B414" s="41" t="s">
        <v>1047</v>
      </c>
      <c r="C414" s="4" t="str">
        <f>IFERROR(__xludf.DUMMYFUNCTION("GOOGLETRANSLATE(B414,""en"",""hi"")"),"इस चरण में 2-24 घंटे का समय लगता है")</f>
        <v>इस चरण में 2-24 घंटे का समय लगता है</v>
      </c>
      <c r="D414" s="4" t="str">
        <f>IFERROR(__xludf.DUMMYFUNCTION("GOOGLETRANSLATE(B414,""en"",""ar"")"),"تستغرق هذه الخطوة ما بين 2 إلى 24 ساعة")</f>
        <v>تستغرق هذه الخطوة ما بين 2 إلى 24 ساعة</v>
      </c>
      <c r="E414" s="4" t="str">
        <f>IFERROR(__xludf.DUMMYFUNCTION("GOOGLETRANSLATE(B414,""en"",""fr"")"),"Cette étape prend entre 2 et 24 heures")</f>
        <v>Cette étape prend entre 2 et 24 heures</v>
      </c>
      <c r="F414" s="4" t="str">
        <f>IFERROR(__xludf.DUMMYFUNCTION("GOOGLETRANSLATE(B414,""en"",""tr"")"),"Bu adım 2-24 saat arasında sürer")</f>
        <v>Bu adım 2-24 saat arasında sürer</v>
      </c>
      <c r="G414" s="4" t="str">
        <f>IFERROR(__xludf.DUMMYFUNCTION("GOOGLETRANSLATE(B414,""en"",""ru"")"),"Этот шаг займет от 2 до 24 часов.")</f>
        <v>Этот шаг займет от 2 до 24 часов.</v>
      </c>
      <c r="H414" s="4" t="str">
        <f>IFERROR(__xludf.DUMMYFUNCTION("GOOGLETRANSLATE(B414,""en"",""it"")"),"Questo passaggio richiede dalle 2 alle 24 ore")</f>
        <v>Questo passaggio richiede dalle 2 alle 24 ore</v>
      </c>
      <c r="I414" s="4" t="str">
        <f>IFERROR(__xludf.DUMMYFUNCTION("GOOGLETRANSLATE(B414,""en"",""de"")"),"Dieser Schritt dauert zwischen 2 und 24 Stunden")</f>
        <v>Dieser Schritt dauert zwischen 2 und 24 Stunden</v>
      </c>
      <c r="J414" s="4" t="str">
        <f>IFERROR(__xludf.DUMMYFUNCTION("GOOGLETRANSLATE(B414,""en"",""ko"")"),"이 단계는 2~24시간 정도 소요됩니다.")</f>
        <v>이 단계는 2~24시간 정도 소요됩니다.</v>
      </c>
      <c r="K414" s="4" t="str">
        <f>IFERROR(__xludf.DUMMYFUNCTION("GOOGLETRANSLATE(B414,""en"",""zh"")"),"此步骤需要 2-24 小时")</f>
        <v>此步骤需要 2-24 小时</v>
      </c>
      <c r="L414" s="4" t="str">
        <f>IFERROR(__xludf.DUMMYFUNCTION("GOOGLETRANSLATE(B414,""en"",""es"")"),"Este paso tarda entre 2 y 24 horas.")</f>
        <v>Este paso tarda entre 2 y 24 horas.</v>
      </c>
      <c r="M414" s="4" t="str">
        <f>IFERROR(__xludf.DUMMYFUNCTION("GOOGLETRANSLATE(B414,""en"",""iw"")"),"שלב זה נמשך בין 2-24 שעות")</f>
        <v>שלב זה נמשך בין 2-24 שעות</v>
      </c>
      <c r="N414" s="4" t="str">
        <f>IFERROR(__xludf.DUMMYFUNCTION("GOOGLETRANSLATE(B414,""en"",""bn"")"),"এই পদক্ষেপটি 2-24 ঘন্টার মধ্যে নিতে হবে")</f>
        <v>এই পদক্ষেপটি 2-24 ঘন্টার মধ্যে নিতে হবে</v>
      </c>
      <c r="O414" s="4" t="str">
        <f>IFERROR(__xludf.DUMMYFUNCTION("GOOGLETRANSLATE(B414,""en"",""pt"")"),"Esta etapa leva entre 2 a 24 horas")</f>
        <v>Esta etapa leva entre 2 a 24 horas</v>
      </c>
    </row>
    <row r="415">
      <c r="A415" s="38" t="s">
        <v>1048</v>
      </c>
      <c r="B415" s="41" t="s">
        <v>1049</v>
      </c>
      <c r="C415" s="4" t="str">
        <f>IFERROR(__xludf.DUMMYFUNCTION("GOOGLETRANSLATE(B415,""en"",""hi"")"),"अस्वीकृत होने का कारण है")</f>
        <v>अस्वीकृत होने का कारण है</v>
      </c>
      <c r="D415" s="4" t="str">
        <f>IFERROR(__xludf.DUMMYFUNCTION("GOOGLETRANSLATE(B415,""en"",""ar"")"),"السبب المرفوض هو")</f>
        <v>السبب المرفوض هو</v>
      </c>
      <c r="E415" s="4" t="str">
        <f>IFERROR(__xludf.DUMMYFUNCTION("GOOGLETRANSLATE(B415,""en"",""fr"")"),"La raison du refus est")</f>
        <v>La raison du refus est</v>
      </c>
      <c r="F415" s="4" t="str">
        <f>IFERROR(__xludf.DUMMYFUNCTION("GOOGLETRANSLATE(B415,""en"",""tr"")"),"Reddedilme nedeni:")</f>
        <v>Reddedilme nedeni:</v>
      </c>
      <c r="G415" s="4" t="str">
        <f>IFERROR(__xludf.DUMMYFUNCTION("GOOGLETRANSLATE(B415,""en"",""ru"")"),"Причина отклонения:")</f>
        <v>Причина отклонения:</v>
      </c>
      <c r="H415" s="4" t="str">
        <f>IFERROR(__xludf.DUMMYFUNCTION("GOOGLETRANSLATE(B415,""en"",""it"")"),"Il motivo del rifiuto è")</f>
        <v>Il motivo del rifiuto è</v>
      </c>
      <c r="I415" s="4" t="str">
        <f>IFERROR(__xludf.DUMMYFUNCTION("GOOGLETRANSLATE(B415,""en"",""de"")"),"Der Ablehnungsgrund ist")</f>
        <v>Der Ablehnungsgrund ist</v>
      </c>
      <c r="J415" s="4" t="str">
        <f>IFERROR(__xludf.DUMMYFUNCTION("GOOGLETRANSLATE(B415,""en"",""ko"")"),"거부된 이유는 다음과 같습니다.")</f>
        <v>거부된 이유는 다음과 같습니다.</v>
      </c>
      <c r="K415" s="4" t="str">
        <f>IFERROR(__xludf.DUMMYFUNCTION("GOOGLETRANSLATE(B415,""en"",""zh"")"),"拒绝的原因是")</f>
        <v>拒绝的原因是</v>
      </c>
      <c r="L415" s="4" t="str">
        <f>IFERROR(__xludf.DUMMYFUNCTION("GOOGLETRANSLATE(B415,""en"",""es"")"),"La razón del rechazo es")</f>
        <v>La razón del rechazo es</v>
      </c>
      <c r="M415" s="4" t="str">
        <f>IFERROR(__xludf.DUMMYFUNCTION("GOOGLETRANSLATE(B415,""en"",""iw"")"),"הסיבה לדחיה היא")</f>
        <v>הסיבה לדחיה היא</v>
      </c>
      <c r="N415" s="4" t="str">
        <f>IFERROR(__xludf.DUMMYFUNCTION("GOOGLETRANSLATE(B415,""en"",""bn"")"),"প্রত্যাখ্যান কারণ হল")</f>
        <v>প্রত্যাখ্যান কারণ হল</v>
      </c>
      <c r="O415" s="4" t="str">
        <f>IFERROR(__xludf.DUMMYFUNCTION("GOOGLETRANSLATE(B415,""en"",""pt"")"),"O motivo da recusa é")</f>
        <v>O motivo da recusa é</v>
      </c>
    </row>
    <row r="416">
      <c r="A416" s="42" t="s">
        <v>1050</v>
      </c>
      <c r="B416" s="41" t="s">
        <v>1051</v>
      </c>
      <c r="C416" s="4" t="str">
        <f>IFERROR(__xludf.DUMMYFUNCTION("GOOGLETRANSLATE(B416,""en"",""hi"")"),"प्रोफाइल की जानकारी")</f>
        <v>प्रोफाइल की जानकारी</v>
      </c>
      <c r="D416" s="4" t="str">
        <f>IFERROR(__xludf.DUMMYFUNCTION("GOOGLETRANSLATE(B416,""en"",""ar"")"),"معلومات الملف الشخصي")</f>
        <v>معلومات الملف الشخصي</v>
      </c>
      <c r="E416" s="4" t="str">
        <f>IFERROR(__xludf.DUMMYFUNCTION("GOOGLETRANSLATE(B416,""en"",""fr"")"),"Informations sur le profil")</f>
        <v>Informations sur le profil</v>
      </c>
      <c r="F416" s="4" t="str">
        <f>IFERROR(__xludf.DUMMYFUNCTION("GOOGLETRANSLATE(B416,""en"",""tr"")"),"Profil Bilgileri")</f>
        <v>Profil Bilgileri</v>
      </c>
      <c r="G416" s="4" t="str">
        <f>IFERROR(__xludf.DUMMYFUNCTION("GOOGLETRANSLATE(B416,""en"",""ru"")"),"Информация профиля")</f>
        <v>Информация профиля</v>
      </c>
      <c r="H416" s="4" t="str">
        <f>IFERROR(__xludf.DUMMYFUNCTION("GOOGLETRANSLATE(B416,""en"",""it"")"),"Informazioni sul profilo")</f>
        <v>Informazioni sul profilo</v>
      </c>
      <c r="I416" s="4" t="str">
        <f>IFERROR(__xludf.DUMMYFUNCTION("GOOGLETRANSLATE(B416,""en"",""de"")"),"Profilinformationen")</f>
        <v>Profilinformationen</v>
      </c>
      <c r="J416" s="4" t="str">
        <f>IFERROR(__xludf.DUMMYFUNCTION("GOOGLETRANSLATE(B416,""en"",""ko"")"),"프로필 정보")</f>
        <v>프로필 정보</v>
      </c>
      <c r="K416" s="4" t="str">
        <f>IFERROR(__xludf.DUMMYFUNCTION("GOOGLETRANSLATE(B416,""en"",""zh"")"),"个人资料信息")</f>
        <v>个人资料信息</v>
      </c>
      <c r="L416" s="4" t="str">
        <f>IFERROR(__xludf.DUMMYFUNCTION("GOOGLETRANSLATE(B416,""en"",""es"")"),"Información del perfil")</f>
        <v>Información del perfil</v>
      </c>
      <c r="M416" s="4" t="str">
        <f>IFERROR(__xludf.DUMMYFUNCTION("GOOGLETRANSLATE(B416,""en"",""iw"")"),"מידע על פרופיל")</f>
        <v>מידע על פרופיל</v>
      </c>
      <c r="N416" s="4" t="str">
        <f>IFERROR(__xludf.DUMMYFUNCTION("GOOGLETRANSLATE(B416,""en"",""bn"")"),"প্রোফাইল তথ্য")</f>
        <v>প্রোফাইল তথ্য</v>
      </c>
      <c r="O416" s="4" t="str">
        <f>IFERROR(__xludf.DUMMYFUNCTION("GOOGLETRANSLATE(B416,""en"",""pt"")"),"Informações do perfil")</f>
        <v>Informações do perfil</v>
      </c>
    </row>
    <row r="417">
      <c r="A417" s="42" t="s">
        <v>1052</v>
      </c>
      <c r="B417" s="43" t="s">
        <v>1053</v>
      </c>
      <c r="C417" s="4" t="str">
        <f>IFERROR(__xludf.DUMMYFUNCTION("GOOGLETRANSLATE(B417,""en"",""hi"")"),"मोबाइल नंबर")</f>
        <v>मोबाइल नंबर</v>
      </c>
      <c r="D417" s="4" t="str">
        <f>IFERROR(__xludf.DUMMYFUNCTION("GOOGLETRANSLATE(B417,""en"",""ar"")"),"رقم الهاتف المحمول")</f>
        <v>رقم الهاتف المحمول</v>
      </c>
      <c r="E417" s="4" t="str">
        <f>IFERROR(__xludf.DUMMYFUNCTION("GOOGLETRANSLATE(B417,""en"",""fr"")"),"Numéro de portable")</f>
        <v>Numéro de portable</v>
      </c>
      <c r="F417" s="4" t="str">
        <f>IFERROR(__xludf.DUMMYFUNCTION("GOOGLETRANSLATE(B417,""en"",""tr"")"),"Cep numarası")</f>
        <v>Cep numarası</v>
      </c>
      <c r="G417" s="4" t="str">
        <f>IFERROR(__xludf.DUMMYFUNCTION("GOOGLETRANSLATE(B417,""en"",""ru"")"),"Номер мобильного телефона")</f>
        <v>Номер мобильного телефона</v>
      </c>
      <c r="H417" s="4" t="str">
        <f>IFERROR(__xludf.DUMMYFUNCTION("GOOGLETRANSLATE(B417,""en"",""it"")"),"Numero di cellulare")</f>
        <v>Numero di cellulare</v>
      </c>
      <c r="I417" s="4" t="str">
        <f>IFERROR(__xludf.DUMMYFUNCTION("GOOGLETRANSLATE(B417,""en"",""de"")"),"Handynummer")</f>
        <v>Handynummer</v>
      </c>
      <c r="J417" s="4" t="str">
        <f>IFERROR(__xludf.DUMMYFUNCTION("GOOGLETRANSLATE(B417,""en"",""ko"")"),"휴대폰 번호")</f>
        <v>휴대폰 번호</v>
      </c>
      <c r="K417" s="4" t="str">
        <f>IFERROR(__xludf.DUMMYFUNCTION("GOOGLETRANSLATE(B417,""en"",""zh"")"),"手机号码")</f>
        <v>手机号码</v>
      </c>
      <c r="L417" s="4" t="str">
        <f>IFERROR(__xludf.DUMMYFUNCTION("GOOGLETRANSLATE(B417,""en"",""es"")"),"Número de teléfono móvil")</f>
        <v>Número de teléfono móvil</v>
      </c>
      <c r="M417" s="4" t="str">
        <f>IFERROR(__xludf.DUMMYFUNCTION("GOOGLETRANSLATE(B417,""en"",""iw"")"),"מספר נייד")</f>
        <v>מספר נייד</v>
      </c>
      <c r="N417" s="4" t="str">
        <f>IFERROR(__xludf.DUMMYFUNCTION("GOOGLETRANSLATE(B417,""en"",""bn"")"),"মোবাইল নম্বর")</f>
        <v>মোবাইল নম্বর</v>
      </c>
      <c r="O417" s="4" t="str">
        <f>IFERROR(__xludf.DUMMYFUNCTION("GOOGLETRANSLATE(B417,""en"",""pt"")"),"Número de telemóvel")</f>
        <v>Número de telemóvel</v>
      </c>
    </row>
    <row r="418">
      <c r="A418" s="42" t="s">
        <v>1054</v>
      </c>
      <c r="B418" s="44" t="s">
        <v>1055</v>
      </c>
      <c r="C418" s="4" t="str">
        <f>IFERROR(__xludf.DUMMYFUNCTION("GOOGLETRANSLATE(B418,""en"",""hi"")"),"कार्य क्षेत्र चुनें")</f>
        <v>कार्य क्षेत्र चुनें</v>
      </c>
      <c r="D418" s="4" t="str">
        <f>IFERROR(__xludf.DUMMYFUNCTION("GOOGLETRANSLATE(B418,""en"",""ar"")"),"حدد منطقة العمل")</f>
        <v>حدد منطقة العمل</v>
      </c>
      <c r="E418" s="4" t="str">
        <f>IFERROR(__xludf.DUMMYFUNCTION("GOOGLETRANSLATE(B418,""en"",""fr"")"),"Sélectionnez la zone de travail")</f>
        <v>Sélectionnez la zone de travail</v>
      </c>
      <c r="F418" s="4" t="str">
        <f>IFERROR(__xludf.DUMMYFUNCTION("GOOGLETRANSLATE(B418,""en"",""tr"")"),"Çalışma Alanını Seçin")</f>
        <v>Çalışma Alanını Seçin</v>
      </c>
      <c r="G418" s="4" t="str">
        <f>IFERROR(__xludf.DUMMYFUNCTION("GOOGLETRANSLATE(B418,""en"",""ru"")"),"Выберите рабочую область")</f>
        <v>Выберите рабочую область</v>
      </c>
      <c r="H418" s="4" t="str">
        <f>IFERROR(__xludf.DUMMYFUNCTION("GOOGLETRANSLATE(B418,""en"",""it"")"),"Seleziona Area di lavoro")</f>
        <v>Seleziona Area di lavoro</v>
      </c>
      <c r="I418" s="4" t="str">
        <f>IFERROR(__xludf.DUMMYFUNCTION("GOOGLETRANSLATE(B418,""en"",""de"")"),"Arbeitsbereich auswählen")</f>
        <v>Arbeitsbereich auswählen</v>
      </c>
      <c r="J418" s="4" t="str">
        <f>IFERROR(__xludf.DUMMYFUNCTION("GOOGLETRANSLATE(B418,""en"",""ko"")"),"작업 영역 선택")</f>
        <v>작업 영역 선택</v>
      </c>
      <c r="K418" s="4" t="str">
        <f>IFERROR(__xludf.DUMMYFUNCTION("GOOGLETRANSLATE(B418,""en"",""zh"")"),"选择工作区域")</f>
        <v>选择工作区域</v>
      </c>
      <c r="L418" s="4" t="str">
        <f>IFERROR(__xludf.DUMMYFUNCTION("GOOGLETRANSLATE(B418,""en"",""es"")"),"Seleccionar área de trabajo")</f>
        <v>Seleccionar área de trabajo</v>
      </c>
      <c r="M418" s="4" t="str">
        <f>IFERROR(__xludf.DUMMYFUNCTION("GOOGLETRANSLATE(B418,""en"",""iw"")"),"בחר אזור עבודה")</f>
        <v>בחר אזור עבודה</v>
      </c>
      <c r="N418" s="4" t="str">
        <f>IFERROR(__xludf.DUMMYFUNCTION("GOOGLETRANSLATE(B418,""en"",""bn"")"),"কাজের এলাকা নির্বাচন করুন")</f>
        <v>কাজের এলাকা নির্বাচন করুন</v>
      </c>
      <c r="O418" s="4" t="str">
        <f>IFERROR(__xludf.DUMMYFUNCTION("GOOGLETRANSLATE(B418,""en"",""pt"")"),"Selecione a área de trabalho")</f>
        <v>Selecione a área de trabalho</v>
      </c>
    </row>
    <row r="419">
      <c r="A419" s="42" t="s">
        <v>1056</v>
      </c>
      <c r="B419" s="41" t="s">
        <v>1057</v>
      </c>
      <c r="C419" s="4" t="str">
        <f>IFERROR(__xludf.DUMMYFUNCTION("GOOGLETRANSLATE(B419,""en"",""hi"")"),"कार्य क्षेत्र")</f>
        <v>कार्य क्षेत्र</v>
      </c>
      <c r="D419" s="4" t="str">
        <f>IFERROR(__xludf.DUMMYFUNCTION("GOOGLETRANSLATE(B419,""en"",""ar"")"),"منطقة العمل")</f>
        <v>منطقة العمل</v>
      </c>
      <c r="E419" s="4" t="str">
        <f>IFERROR(__xludf.DUMMYFUNCTION("GOOGLETRANSLATE(B419,""en"",""fr"")"),"Espace de travail")</f>
        <v>Espace de travail</v>
      </c>
      <c r="F419" s="4" t="str">
        <f>IFERROR(__xludf.DUMMYFUNCTION("GOOGLETRANSLATE(B419,""en"",""tr"")"),"Çalışma Alanı")</f>
        <v>Çalışma Alanı</v>
      </c>
      <c r="G419" s="4" t="str">
        <f>IFERROR(__xludf.DUMMYFUNCTION("GOOGLETRANSLATE(B419,""en"",""ru"")"),"Рабочая зона")</f>
        <v>Рабочая зона</v>
      </c>
      <c r="H419" s="4" t="str">
        <f>IFERROR(__xludf.DUMMYFUNCTION("GOOGLETRANSLATE(B419,""en"",""it"")"),"Area di lavoro")</f>
        <v>Area di lavoro</v>
      </c>
      <c r="I419" s="4" t="str">
        <f>IFERROR(__xludf.DUMMYFUNCTION("GOOGLETRANSLATE(B419,""en"",""de"")"),"Arbeitsbereich")</f>
        <v>Arbeitsbereich</v>
      </c>
      <c r="J419" s="4" t="str">
        <f>IFERROR(__xludf.DUMMYFUNCTION("GOOGLETRANSLATE(B419,""en"",""ko"")"),"작업 영역")</f>
        <v>작업 영역</v>
      </c>
      <c r="K419" s="4" t="str">
        <f>IFERROR(__xludf.DUMMYFUNCTION("GOOGLETRANSLATE(B419,""en"",""zh"")"),"工作区")</f>
        <v>工作区</v>
      </c>
      <c r="L419" s="4" t="str">
        <f>IFERROR(__xludf.DUMMYFUNCTION("GOOGLETRANSLATE(B419,""en"",""es"")"),"Área de trabajo")</f>
        <v>Área de trabajo</v>
      </c>
      <c r="M419" s="4" t="str">
        <f>IFERROR(__xludf.DUMMYFUNCTION("GOOGLETRANSLATE(B419,""en"",""iw"")"),"אזור עבודה")</f>
        <v>אזור עבודה</v>
      </c>
      <c r="N419" s="4" t="str">
        <f>IFERROR(__xludf.DUMMYFUNCTION("GOOGLETRANSLATE(B419,""en"",""bn"")"),"কর্মক্ষেত্র")</f>
        <v>কর্মক্ষেত্র</v>
      </c>
      <c r="O419" s="4" t="str">
        <f>IFERROR(__xludf.DUMMYFUNCTION("GOOGLETRANSLATE(B419,""en"",""pt"")"),"Área de trabalho")</f>
        <v>Área de trabalho</v>
      </c>
    </row>
    <row r="420">
      <c r="A420" s="45" t="s">
        <v>1058</v>
      </c>
      <c r="B420" s="46" t="s">
        <v>1059</v>
      </c>
      <c r="C420" s="4" t="str">
        <f>IFERROR(__xludf.DUMMYFUNCTION("GOOGLETRANSLATE(B420,""en"",""hi"")"),"वाहन मॉडल चुनें")</f>
        <v>वाहन मॉडल चुनें</v>
      </c>
      <c r="D420" s="4" t="str">
        <f>IFERROR(__xludf.DUMMYFUNCTION("GOOGLETRANSLATE(B420,""en"",""ar"")"),"اختر طراز السيارة")</f>
        <v>اختر طراز السيارة</v>
      </c>
      <c r="E420" s="4" t="str">
        <f>IFERROR(__xludf.DUMMYFUNCTION("GOOGLETRANSLATE(B420,""en"",""fr"")"),"Sélectionnez le modèle de véhicule")</f>
        <v>Sélectionnez le modèle de véhicule</v>
      </c>
      <c r="F420" s="4" t="str">
        <f>IFERROR(__xludf.DUMMYFUNCTION("GOOGLETRANSLATE(B420,""en"",""tr"")"),"Araç Modelini Seçin")</f>
        <v>Araç Modelini Seçin</v>
      </c>
      <c r="G420" s="4" t="str">
        <f>IFERROR(__xludf.DUMMYFUNCTION("GOOGLETRANSLATE(B420,""en"",""ru"")"),"Выберите модель автомобиля")</f>
        <v>Выберите модель автомобиля</v>
      </c>
      <c r="H420" s="4" t="str">
        <f>IFERROR(__xludf.DUMMYFUNCTION("GOOGLETRANSLATE(B420,""en"",""it"")"),"Seleziona il modello del veicolo")</f>
        <v>Seleziona il modello del veicolo</v>
      </c>
      <c r="I420" s="4" t="str">
        <f>IFERROR(__xludf.DUMMYFUNCTION("GOOGLETRANSLATE(B420,""en"",""de"")"),"Fahrzeugmodell auswählen")</f>
        <v>Fahrzeugmodell auswählen</v>
      </c>
      <c r="J420" s="4" t="str">
        <f>IFERROR(__xludf.DUMMYFUNCTION("GOOGLETRANSLATE(B420,""en"",""ko"")"),"차량 모델 선택")</f>
        <v>차량 모델 선택</v>
      </c>
      <c r="K420" s="4" t="str">
        <f>IFERROR(__xludf.DUMMYFUNCTION("GOOGLETRANSLATE(B420,""en"",""zh"")"),"选择车型")</f>
        <v>选择车型</v>
      </c>
      <c r="L420" s="4" t="str">
        <f>IFERROR(__xludf.DUMMYFUNCTION("GOOGLETRANSLATE(B420,""en"",""es"")"),"Seleccione el modelo del vehículo")</f>
        <v>Seleccione el modelo del vehículo</v>
      </c>
      <c r="M420" s="4" t="str">
        <f>IFERROR(__xludf.DUMMYFUNCTION("GOOGLETRANSLATE(B420,""en"",""iw"")"),"בחר דגם רכב")</f>
        <v>בחר דגם רכב</v>
      </c>
      <c r="N420" s="4" t="str">
        <f>IFERROR(__xludf.DUMMYFUNCTION("GOOGLETRANSLATE(B420,""en"",""bn"")"),"গাড়ির মডেল নির্বাচন করুন")</f>
        <v>গাড়ির মডেল নির্বাচন করুন</v>
      </c>
      <c r="O420" s="4" t="str">
        <f>IFERROR(__xludf.DUMMYFUNCTION("GOOGLETRANSLATE(B420,""en"",""pt"")"),"Selecione o modelo do veículo")</f>
        <v>Selecione o modelo do veículo</v>
      </c>
    </row>
    <row r="421">
      <c r="A421" s="42" t="s">
        <v>1060</v>
      </c>
      <c r="B421" s="46" t="s">
        <v>1061</v>
      </c>
      <c r="C421" s="4" t="str">
        <f>IFERROR(__xludf.DUMMYFUNCTION("GOOGLETRANSLATE(B421,""en"",""hi"")"),"वाहन निर्माता का चयन करें")</f>
        <v>वाहन निर्माता का चयन करें</v>
      </c>
      <c r="D421" s="4" t="str">
        <f>IFERROR(__xludf.DUMMYFUNCTION("GOOGLETRANSLATE(B421,""en"",""ar"")"),"اختر ماركة السيارة")</f>
        <v>اختر ماركة السيارة</v>
      </c>
      <c r="E421" s="4" t="str">
        <f>IFERROR(__xludf.DUMMYFUNCTION("GOOGLETRANSLATE(B421,""en"",""fr"")"),"Sélectionnez la marque du véhicule")</f>
        <v>Sélectionnez la marque du véhicule</v>
      </c>
      <c r="F421" s="4" t="str">
        <f>IFERROR(__xludf.DUMMYFUNCTION("GOOGLETRANSLATE(B421,""en"",""tr"")"),"Araç Markasını Seçin")</f>
        <v>Araç Markasını Seçin</v>
      </c>
      <c r="G421" s="4" t="str">
        <f>IFERROR(__xludf.DUMMYFUNCTION("GOOGLETRANSLATE(B421,""en"",""ru"")"),"Выберите марку автомобиля")</f>
        <v>Выберите марку автомобиля</v>
      </c>
      <c r="H421" s="4" t="str">
        <f>IFERROR(__xludf.DUMMYFUNCTION("GOOGLETRANSLATE(B421,""en"",""it"")"),"Seleziona la marca del veicolo")</f>
        <v>Seleziona la marca del veicolo</v>
      </c>
      <c r="I421" s="4" t="str">
        <f>IFERROR(__xludf.DUMMYFUNCTION("GOOGLETRANSLATE(B421,""en"",""de"")"),"Fahrzeugmarke auswählen")</f>
        <v>Fahrzeugmarke auswählen</v>
      </c>
      <c r="J421" s="4" t="str">
        <f>IFERROR(__xludf.DUMMYFUNCTION("GOOGLETRANSLATE(B421,""en"",""ko"")"),"차량 제조사 선택")</f>
        <v>차량 제조사 선택</v>
      </c>
      <c r="K421" s="4" t="str">
        <f>IFERROR(__xludf.DUMMYFUNCTION("GOOGLETRANSLATE(B421,""en"",""zh"")"),"选择车辆品牌")</f>
        <v>选择车辆品牌</v>
      </c>
      <c r="L421" s="4" t="str">
        <f>IFERROR(__xludf.DUMMYFUNCTION("GOOGLETRANSLATE(B421,""en"",""es"")"),"Seleccione la marca del vehículo")</f>
        <v>Seleccione la marca del vehículo</v>
      </c>
      <c r="M421" s="4" t="str">
        <f>IFERROR(__xludf.DUMMYFUNCTION("GOOGLETRANSLATE(B421,""en"",""iw"")"),"בחר יצרן רכב")</f>
        <v>בחר יצרן רכב</v>
      </c>
      <c r="N421" s="4" t="str">
        <f>IFERROR(__xludf.DUMMYFUNCTION("GOOGLETRANSLATE(B421,""en"",""bn"")"),"যানবাহন তৈরি নির্বাচন করুন")</f>
        <v>যানবাহন তৈরি নির্বাচন করুন</v>
      </c>
      <c r="O421" s="4" t="str">
        <f>IFERROR(__xludf.DUMMYFUNCTION("GOOGLETRANSLATE(B421,""en"",""pt"")"),"Selecione a marca do veículo")</f>
        <v>Selecione a marca do veículo</v>
      </c>
    </row>
    <row r="422">
      <c r="A422" s="42" t="s">
        <v>1062</v>
      </c>
      <c r="B422" s="29" t="s">
        <v>1063</v>
      </c>
      <c r="C422" s="4" t="str">
        <f>IFERROR(__xludf.DUMMYFUNCTION("GOOGLETRANSLATE(B422,""en"",""hi"")"),"दिनांक चुनें")</f>
        <v>दिनांक चुनें</v>
      </c>
      <c r="D422" s="4" t="str">
        <f>IFERROR(__xludf.DUMMYFUNCTION("GOOGLETRANSLATE(B422,""en"",""ar"")"),"اختر التاريخ")</f>
        <v>اختر التاريخ</v>
      </c>
      <c r="E422" s="4" t="str">
        <f>IFERROR(__xludf.DUMMYFUNCTION("GOOGLETRANSLATE(B422,""en"",""fr"")"),"Choisissez la date")</f>
        <v>Choisissez la date</v>
      </c>
      <c r="F422" s="4" t="str">
        <f>IFERROR(__xludf.DUMMYFUNCTION("GOOGLETRANSLATE(B422,""en"",""tr"")"),"Tarih Seçin")</f>
        <v>Tarih Seçin</v>
      </c>
      <c r="G422" s="4" t="str">
        <f>IFERROR(__xludf.DUMMYFUNCTION("GOOGLETRANSLATE(B422,""en"",""ru"")"),"Выберите дату")</f>
        <v>Выберите дату</v>
      </c>
      <c r="H422" s="4" t="str">
        <f>IFERROR(__xludf.DUMMYFUNCTION("GOOGLETRANSLATE(B422,""en"",""it"")"),"Scegli la data")</f>
        <v>Scegli la data</v>
      </c>
      <c r="I422" s="4" t="str">
        <f>IFERROR(__xludf.DUMMYFUNCTION("GOOGLETRANSLATE(B422,""en"",""de"")"),"Datum auswählen")</f>
        <v>Datum auswählen</v>
      </c>
      <c r="J422" s="4" t="str">
        <f>IFERROR(__xludf.DUMMYFUNCTION("GOOGLETRANSLATE(B422,""en"",""ko"")"),"날짜를 선택하세요")</f>
        <v>날짜를 선택하세요</v>
      </c>
      <c r="K422" s="4" t="str">
        <f>IFERROR(__xludf.DUMMYFUNCTION("GOOGLETRANSLATE(B422,""en"",""zh"")"),"选择日期")</f>
        <v>选择日期</v>
      </c>
      <c r="L422" s="4" t="str">
        <f>IFERROR(__xludf.DUMMYFUNCTION("GOOGLETRANSLATE(B422,""en"",""es"")"),"Elija fecha")</f>
        <v>Elija fecha</v>
      </c>
      <c r="M422" s="4" t="str">
        <f>IFERROR(__xludf.DUMMYFUNCTION("GOOGLETRANSLATE(B422,""en"",""iw"")"),"בחר תאריך")</f>
        <v>בחר תאריך</v>
      </c>
      <c r="N422" s="4" t="str">
        <f>IFERROR(__xludf.DUMMYFUNCTION("GOOGLETRANSLATE(B422,""en"",""bn"")"),"তারিখ নির্বাচন করুন")</f>
        <v>তারিখ নির্বাচন করুন</v>
      </c>
      <c r="O422" s="4" t="str">
        <f>IFERROR(__xludf.DUMMYFUNCTION("GOOGLETRANSLATE(B422,""en"",""pt"")"),"Escolha a data")</f>
        <v>Escolha a data</v>
      </c>
    </row>
    <row r="423">
      <c r="A423" s="42" t="s">
        <v>1064</v>
      </c>
      <c r="B423" s="29" t="s">
        <v>1065</v>
      </c>
      <c r="C423" s="4" t="str">
        <f>IFERROR(__xludf.DUMMYFUNCTION("GOOGLETRANSLATE(B423,""en"",""hi"")"),"मिटाना")</f>
        <v>मिटाना</v>
      </c>
      <c r="D423" s="4" t="str">
        <f>IFERROR(__xludf.DUMMYFUNCTION("GOOGLETRANSLATE(B423,""en"",""ar"")"),"يمسح")</f>
        <v>يمسح</v>
      </c>
      <c r="E423" s="4" t="str">
        <f>IFERROR(__xludf.DUMMYFUNCTION("GOOGLETRANSLATE(B423,""en"",""fr"")"),"Supprimer")</f>
        <v>Supprimer</v>
      </c>
      <c r="F423" s="4" t="str">
        <f>IFERROR(__xludf.DUMMYFUNCTION("GOOGLETRANSLATE(B423,""en"",""tr"")"),"Silmek")</f>
        <v>Silmek</v>
      </c>
      <c r="G423" s="4" t="str">
        <f>IFERROR(__xludf.DUMMYFUNCTION("GOOGLETRANSLATE(B423,""en"",""ru"")"),"Удалить")</f>
        <v>Удалить</v>
      </c>
      <c r="H423" s="4" t="str">
        <f>IFERROR(__xludf.DUMMYFUNCTION("GOOGLETRANSLATE(B423,""en"",""it"")"),"Eliminare")</f>
        <v>Eliminare</v>
      </c>
      <c r="I423" s="4" t="str">
        <f>IFERROR(__xludf.DUMMYFUNCTION("GOOGLETRANSLATE(B423,""en"",""de"")"),"Löschen")</f>
        <v>Löschen</v>
      </c>
      <c r="J423" s="4" t="str">
        <f>IFERROR(__xludf.DUMMYFUNCTION("GOOGLETRANSLATE(B423,""en"",""ko"")"),"삭제")</f>
        <v>삭제</v>
      </c>
      <c r="K423" s="4" t="str">
        <f>IFERROR(__xludf.DUMMYFUNCTION("GOOGLETRANSLATE(B423,""en"",""zh"")"),"删除")</f>
        <v>删除</v>
      </c>
      <c r="L423" s="4" t="str">
        <f>IFERROR(__xludf.DUMMYFUNCTION("GOOGLETRANSLATE(B423,""en"",""es"")"),"Borrar")</f>
        <v>Borrar</v>
      </c>
      <c r="M423" s="4" t="str">
        <f>IFERROR(__xludf.DUMMYFUNCTION("GOOGLETRANSLATE(B423,""en"",""iw"")"),"לִמְחוֹק")</f>
        <v>לִמְחוֹק</v>
      </c>
      <c r="N423" s="4" t="str">
        <f>IFERROR(__xludf.DUMMYFUNCTION("GOOGLETRANSLATE(B423,""en"",""bn"")"),"মুছে দিন")</f>
        <v>মুছে দিন</v>
      </c>
      <c r="O423" s="4" t="str">
        <f>IFERROR(__xludf.DUMMYFUNCTION("GOOGLETRANSLATE(B423,""en"",""pt"")"),"Excluir")</f>
        <v>Excluir</v>
      </c>
    </row>
    <row r="424">
      <c r="A424" s="42" t="s">
        <v>1066</v>
      </c>
      <c r="B424" s="29" t="s">
        <v>1067</v>
      </c>
      <c r="C424" s="4" t="str">
        <f>IFERROR(__xludf.DUMMYFUNCTION("GOOGLETRANSLATE(B424,""en"",""hi"")"),"आप कहाँ जाना चाहते हैं?")</f>
        <v>आप कहाँ जाना चाहते हैं?</v>
      </c>
      <c r="D424" s="4" t="str">
        <f>IFERROR(__xludf.DUMMYFUNCTION("GOOGLETRANSLATE(B424,""en"",""ar"")"),"أين تريد أن تذهب؟")</f>
        <v>أين تريد أن تذهب؟</v>
      </c>
      <c r="E424" s="4" t="str">
        <f>IFERROR(__xludf.DUMMYFUNCTION("GOOGLETRANSLATE(B424,""en"",""fr"")"),"Où veux-tu aller ?")</f>
        <v>Où veux-tu aller ?</v>
      </c>
      <c r="F424" s="4" t="str">
        <f>IFERROR(__xludf.DUMMYFUNCTION("GOOGLETRANSLATE(B424,""en"",""tr"")"),"Nereye gitmek istiyorsun?")</f>
        <v>Nereye gitmek istiyorsun?</v>
      </c>
      <c r="G424" s="4" t="str">
        <f>IFERROR(__xludf.DUMMYFUNCTION("GOOGLETRANSLATE(B424,""en"",""ru"")"),"Куда вы хотите пойти?")</f>
        <v>Куда вы хотите пойти?</v>
      </c>
      <c r="H424" s="4" t="str">
        <f>IFERROR(__xludf.DUMMYFUNCTION("GOOGLETRANSLATE(B424,""en"",""it"")"),"Dove vuoi andare?")</f>
        <v>Dove vuoi andare?</v>
      </c>
      <c r="I424" s="4" t="str">
        <f>IFERROR(__xludf.DUMMYFUNCTION("GOOGLETRANSLATE(B424,""en"",""de"")"),"Wohin möchten Sie reisen?")</f>
        <v>Wohin möchten Sie reisen?</v>
      </c>
      <c r="J424" s="4" t="str">
        <f>IFERROR(__xludf.DUMMYFUNCTION("GOOGLETRANSLATE(B424,""en"",""ko"")"),"어디로 가고 싶나요?")</f>
        <v>어디로 가고 싶나요?</v>
      </c>
      <c r="K424" s="4" t="str">
        <f>IFERROR(__xludf.DUMMYFUNCTION("GOOGLETRANSLATE(B424,""en"",""zh"")"),"你想去哪里？")</f>
        <v>你想去哪里？</v>
      </c>
      <c r="L424" s="4" t="str">
        <f>IFERROR(__xludf.DUMMYFUNCTION("GOOGLETRANSLATE(B424,""en"",""es"")"),"¿A dónde quieres ir?")</f>
        <v>¿A dónde quieres ir?</v>
      </c>
      <c r="M424" s="4" t="str">
        <f>IFERROR(__xludf.DUMMYFUNCTION("GOOGLETRANSLATE(B424,""en"",""iw"")"),"לאן אתה רוצה ללכת?")</f>
        <v>לאן אתה רוצה ללכת?</v>
      </c>
      <c r="N424" s="4" t="str">
        <f>IFERROR(__xludf.DUMMYFUNCTION("GOOGLETRANSLATE(B424,""en"",""bn"")"),"আপনি কোথায় যেতে চান?")</f>
        <v>আপনি কোথায় যেতে চান?</v>
      </c>
      <c r="O424" s="4" t="str">
        <f>IFERROR(__xludf.DUMMYFUNCTION("GOOGLETRANSLATE(B424,""en"",""pt"")"),"Para onde você quer ir?")</f>
        <v>Para onde você quer ir?</v>
      </c>
    </row>
    <row r="425">
      <c r="A425" s="42" t="s">
        <v>1068</v>
      </c>
      <c r="B425" s="39" t="s">
        <v>1069</v>
      </c>
      <c r="C425" s="4" t="str">
        <f>IFERROR(__xludf.DUMMYFUNCTION("GOOGLETRANSLATE(B425,""en"",""hi"")"),"मानचित्र पर देखें")</f>
        <v>मानचित्र पर देखें</v>
      </c>
      <c r="D425" s="4" t="str">
        <f>IFERROR(__xludf.DUMMYFUNCTION("GOOGLETRANSLATE(B425,""en"",""ar"")"),"عرض على الخريطة")</f>
        <v>عرض على الخريطة</v>
      </c>
      <c r="E425" s="4" t="str">
        <f>IFERROR(__xludf.DUMMYFUNCTION("GOOGLETRANSLATE(B425,""en"",""fr"")"),"Voir sur la carte")</f>
        <v>Voir sur la carte</v>
      </c>
      <c r="F425" s="4" t="str">
        <f>IFERROR(__xludf.DUMMYFUNCTION("GOOGLETRANSLATE(B425,""en"",""tr"")"),"Haritada görüntüle")</f>
        <v>Haritada görüntüle</v>
      </c>
      <c r="G425" s="4" t="str">
        <f>IFERROR(__xludf.DUMMYFUNCTION("GOOGLETRANSLATE(B425,""en"",""ru"")"),"Посмотреть на карте")</f>
        <v>Посмотреть на карте</v>
      </c>
      <c r="H425" s="4" t="str">
        <f>IFERROR(__xludf.DUMMYFUNCTION("GOOGLETRANSLATE(B425,""en"",""it"")"),"Visualizza sulla mappa")</f>
        <v>Visualizza sulla mappa</v>
      </c>
      <c r="I425" s="4" t="str">
        <f>IFERROR(__xludf.DUMMYFUNCTION("GOOGLETRANSLATE(B425,""en"",""de"")"),"Auf der Karte anzeigen")</f>
        <v>Auf der Karte anzeigen</v>
      </c>
      <c r="J425" s="4" t="str">
        <f>IFERROR(__xludf.DUMMYFUNCTION("GOOGLETRANSLATE(B425,""en"",""ko"")"),"지도에서 보기")</f>
        <v>지도에서 보기</v>
      </c>
      <c r="K425" s="4" t="str">
        <f>IFERROR(__xludf.DUMMYFUNCTION("GOOGLETRANSLATE(B425,""en"",""zh"")"),"在地图上查看")</f>
        <v>在地图上查看</v>
      </c>
      <c r="L425" s="4" t="str">
        <f>IFERROR(__xludf.DUMMYFUNCTION("GOOGLETRANSLATE(B425,""en"",""es"")"),"Ver en el mapa")</f>
        <v>Ver en el mapa</v>
      </c>
      <c r="M425" s="4" t="str">
        <f>IFERROR(__xludf.DUMMYFUNCTION("GOOGLETRANSLATE(B425,""en"",""iw"")"),"צפה במפה")</f>
        <v>צפה במפה</v>
      </c>
      <c r="N425" s="4" t="str">
        <f>IFERROR(__xludf.DUMMYFUNCTION("GOOGLETRANSLATE(B425,""en"",""bn"")"),"মানচিত্রে দেখুন")</f>
        <v>মানচিত্রে দেখুন</v>
      </c>
      <c r="O425" s="4" t="str">
        <f>IFERROR(__xludf.DUMMYFUNCTION("GOOGLETRANSLATE(B425,""en"",""pt"")"),"Ver no mapa")</f>
        <v>Ver no mapa</v>
      </c>
    </row>
    <row r="426">
      <c r="A426" s="42" t="s">
        <v>1070</v>
      </c>
      <c r="B426" s="29" t="s">
        <v>1071</v>
      </c>
      <c r="C426" s="4" t="str">
        <f>IFERROR(__xludf.DUMMYFUNCTION("GOOGLETRANSLATE(B426,""en"",""hi"")"),"कूपन")</f>
        <v>कूपन</v>
      </c>
      <c r="D426" s="4" t="str">
        <f>IFERROR(__xludf.DUMMYFUNCTION("GOOGLETRANSLATE(B426,""en"",""ar"")"),"قسيمة")</f>
        <v>قسيمة</v>
      </c>
      <c r="E426" s="4" t="str">
        <f>IFERROR(__xludf.DUMMYFUNCTION("GOOGLETRANSLATE(B426,""en"",""fr"")"),"Coupon")</f>
        <v>Coupon</v>
      </c>
      <c r="F426" s="4" t="str">
        <f>IFERROR(__xludf.DUMMYFUNCTION("GOOGLETRANSLATE(B426,""en"",""tr"")"),"Kupon")</f>
        <v>Kupon</v>
      </c>
      <c r="G426" s="4" t="str">
        <f>IFERROR(__xludf.DUMMYFUNCTION("GOOGLETRANSLATE(B426,""en"",""ru"")"),"Купон")</f>
        <v>Купон</v>
      </c>
      <c r="H426" s="4" t="str">
        <f>IFERROR(__xludf.DUMMYFUNCTION("GOOGLETRANSLATE(B426,""en"",""it"")"),"Buono")</f>
        <v>Buono</v>
      </c>
      <c r="I426" s="4" t="str">
        <f>IFERROR(__xludf.DUMMYFUNCTION("GOOGLETRANSLATE(B426,""en"",""de"")"),"Coupon")</f>
        <v>Coupon</v>
      </c>
      <c r="J426" s="4" t="str">
        <f>IFERROR(__xludf.DUMMYFUNCTION("GOOGLETRANSLATE(B426,""en"",""ko"")"),"쿠폰")</f>
        <v>쿠폰</v>
      </c>
      <c r="K426" s="4" t="str">
        <f>IFERROR(__xludf.DUMMYFUNCTION("GOOGLETRANSLATE(B426,""en"",""zh"")"),"优惠券")</f>
        <v>优惠券</v>
      </c>
      <c r="L426" s="4" t="str">
        <f>IFERROR(__xludf.DUMMYFUNCTION("GOOGLETRANSLATE(B426,""en"",""es"")"),"Cupón")</f>
        <v>Cupón</v>
      </c>
      <c r="M426" s="4" t="str">
        <f>IFERROR(__xludf.DUMMYFUNCTION("GOOGLETRANSLATE(B426,""en"",""iw"")"),"קוּפּוֹן")</f>
        <v>קוּפּוֹן</v>
      </c>
      <c r="N426" s="4" t="str">
        <f>IFERROR(__xludf.DUMMYFUNCTION("GOOGLETRANSLATE(B426,""en"",""bn"")"),"কুপন")</f>
        <v>কুপন</v>
      </c>
      <c r="O426" s="4" t="str">
        <f>IFERROR(__xludf.DUMMYFUNCTION("GOOGLETRANSLATE(B426,""en"",""pt"")"),"Cupom")</f>
        <v>Cupom</v>
      </c>
    </row>
    <row r="427">
      <c r="A427" s="42" t="s">
        <v>1072</v>
      </c>
      <c r="B427" s="39" t="s">
        <v>1073</v>
      </c>
      <c r="C427" s="4" t="str">
        <f>IFERROR(__xludf.DUMMYFUNCTION("GOOGLETRANSLATE(B427,""en"",""hi"")"),"बुकिंग रद्द करें")</f>
        <v>बुकिंग रद्द करें</v>
      </c>
      <c r="D427" s="4" t="str">
        <f>IFERROR(__xludf.DUMMYFUNCTION("GOOGLETRANSLATE(B427,""en"",""ar"")"),"إلغاء الحجز")</f>
        <v>إلغاء الحجز</v>
      </c>
      <c r="E427" s="4" t="str">
        <f>IFERROR(__xludf.DUMMYFUNCTION("GOOGLETRANSLATE(B427,""en"",""fr"")"),"Annuler la réservation")</f>
        <v>Annuler la réservation</v>
      </c>
      <c r="F427" s="4" t="str">
        <f>IFERROR(__xludf.DUMMYFUNCTION("GOOGLETRANSLATE(B427,""en"",""tr"")"),"Rezervasyonu İptal Et")</f>
        <v>Rezervasyonu İptal Et</v>
      </c>
      <c r="G427" s="4" t="str">
        <f>IFERROR(__xludf.DUMMYFUNCTION("GOOGLETRANSLATE(B427,""en"",""ru"")"),"Отменить бронирование")</f>
        <v>Отменить бронирование</v>
      </c>
      <c r="H427" s="4" t="str">
        <f>IFERROR(__xludf.DUMMYFUNCTION("GOOGLETRANSLATE(B427,""en"",""it"")"),"Annulla prenotazione")</f>
        <v>Annulla prenotazione</v>
      </c>
      <c r="I427" s="4" t="str">
        <f>IFERROR(__xludf.DUMMYFUNCTION("GOOGLETRANSLATE(B427,""en"",""de"")"),"Buchung stornieren")</f>
        <v>Buchung stornieren</v>
      </c>
      <c r="J427" s="4" t="str">
        <f>IFERROR(__xludf.DUMMYFUNCTION("GOOGLETRANSLATE(B427,""en"",""ko"")"),"예약 취소")</f>
        <v>예약 취소</v>
      </c>
      <c r="K427" s="4" t="str">
        <f>IFERROR(__xludf.DUMMYFUNCTION("GOOGLETRANSLATE(B427,""en"",""zh"")"),"取消预订")</f>
        <v>取消预订</v>
      </c>
      <c r="L427" s="4" t="str">
        <f>IFERROR(__xludf.DUMMYFUNCTION("GOOGLETRANSLATE(B427,""en"",""es"")"),"Cancelar reserva")</f>
        <v>Cancelar reserva</v>
      </c>
      <c r="M427" s="4" t="str">
        <f>IFERROR(__xludf.DUMMYFUNCTION("GOOGLETRANSLATE(B427,""en"",""iw"")"),"בטל את ההזמנה")</f>
        <v>בטל את ההזמנה</v>
      </c>
      <c r="N427" s="4" t="str">
        <f>IFERROR(__xludf.DUMMYFUNCTION("GOOGLETRANSLATE(B427,""en"",""bn"")"),"বুকিং বাতিল করুন")</f>
        <v>বুকিং বাতিল করুন</v>
      </c>
      <c r="O427" s="4" t="str">
        <f>IFERROR(__xludf.DUMMYFUNCTION("GOOGLETRANSLATE(B427,""en"",""pt"")"),"Cancelar reserva")</f>
        <v>Cancelar reserva</v>
      </c>
    </row>
    <row r="428">
      <c r="A428" s="42" t="s">
        <v>1074</v>
      </c>
      <c r="B428" s="29" t="s">
        <v>1075</v>
      </c>
      <c r="C428" s="4" t="str">
        <f>IFERROR(__xludf.DUMMYFUNCTION("GOOGLETRANSLATE(B428,""en"",""hi"")"),"पास में ड्राइवर")</f>
        <v>पास में ड्राइवर</v>
      </c>
      <c r="D428" s="4" t="str">
        <f>IFERROR(__xludf.DUMMYFUNCTION("GOOGLETRANSLATE(B428,""en"",""ar"")"),"سائق قريب")</f>
        <v>سائق قريب</v>
      </c>
      <c r="E428" s="4" t="str">
        <f>IFERROR(__xludf.DUMMYFUNCTION("GOOGLETRANSLATE(B428,""en"",""fr"")"),"Conducteur à proximité")</f>
        <v>Conducteur à proximité</v>
      </c>
      <c r="F428" s="4" t="str">
        <f>IFERROR(__xludf.DUMMYFUNCTION("GOOGLETRANSLATE(B428,""en"",""tr"")"),"Yakınlarda Sürücü")</f>
        <v>Yakınlarda Sürücü</v>
      </c>
      <c r="G428" s="4" t="str">
        <f>IFERROR(__xludf.DUMMYFUNCTION("GOOGLETRANSLATE(B428,""en"",""ru"")"),"Водитель рядом")</f>
        <v>Водитель рядом</v>
      </c>
      <c r="H428" s="4" t="str">
        <f>IFERROR(__xludf.DUMMYFUNCTION("GOOGLETRANSLATE(B428,""en"",""it"")"),"Autista nelle vicinanze")</f>
        <v>Autista nelle vicinanze</v>
      </c>
      <c r="I428" s="4" t="str">
        <f>IFERROR(__xludf.DUMMYFUNCTION("GOOGLETRANSLATE(B428,""en"",""de"")"),"Fahrer in der Nähe")</f>
        <v>Fahrer in der Nähe</v>
      </c>
      <c r="J428" s="4" t="str">
        <f>IFERROR(__xludf.DUMMYFUNCTION("GOOGLETRANSLATE(B428,""en"",""ko"")"),"근처 운전자")</f>
        <v>근처 운전자</v>
      </c>
      <c r="K428" s="4" t="str">
        <f>IFERROR(__xludf.DUMMYFUNCTION("GOOGLETRANSLATE(B428,""en"",""zh"")"),"附近有司机")</f>
        <v>附近有司机</v>
      </c>
      <c r="L428" s="4" t="str">
        <f>IFERROR(__xludf.DUMMYFUNCTION("GOOGLETRANSLATE(B428,""en"",""es"")"),"Conductor cercano")</f>
        <v>Conductor cercano</v>
      </c>
      <c r="M428" s="4" t="str">
        <f>IFERROR(__xludf.DUMMYFUNCTION("GOOGLETRANSLATE(B428,""en"",""iw"")"),"נהג בקרבת מקום")</f>
        <v>נהג בקרבת מקום</v>
      </c>
      <c r="N428" s="4" t="str">
        <f>IFERROR(__xludf.DUMMYFUNCTION("GOOGLETRANSLATE(B428,""en"",""bn"")"),"কাছাকাছি ড্রাইভার")</f>
        <v>কাছাকাছি ড্রাইভার</v>
      </c>
      <c r="O428" s="4" t="str">
        <f>IFERROR(__xludf.DUMMYFUNCTION("GOOGLETRANSLATE(B428,""en"",""pt"")"),"Motorista próximo")</f>
        <v>Motorista próximo</v>
      </c>
    </row>
    <row r="429">
      <c r="A429" s="42" t="s">
        <v>1076</v>
      </c>
      <c r="B429" s="29" t="s">
        <v>1077</v>
      </c>
      <c r="C429" s="4" t="str">
        <f>IFERROR(__xludf.DUMMYFUNCTION("GOOGLETRANSLATE(B429,""en"",""hi"")"),"ड्राइवर 2 मिनट में आ जाएगा, उससे मिलने के लिए तैयार रहें")</f>
        <v>ड्राइवर 2 मिनट में आ जाएगा, उससे मिलने के लिए तैयार रहें</v>
      </c>
      <c r="D429" s="4" t="str">
        <f>IFERROR(__xludf.DUMMYFUNCTION("GOOGLETRANSLATE(B429,""en"",""ar"")"),"سيصل السائق خلال دقيقتين كن مستعدًا لمقابلته")</f>
        <v>سيصل السائق خلال دقيقتين كن مستعدًا لمقابلته</v>
      </c>
      <c r="E429" s="4" t="str">
        <f>IFERROR(__xludf.DUMMYFUNCTION("GOOGLETRANSLATE(B429,""en"",""fr"")"),"Le chauffeur arrivera dans 2 minutes, soyez prêt à le rencontrer")</f>
        <v>Le chauffeur arrivera dans 2 minutes, soyez prêt à le rencontrer</v>
      </c>
      <c r="F429" s="4" t="str">
        <f>IFERROR(__xludf.DUMMYFUNCTION("GOOGLETRANSLATE(B429,""en"",""tr"")"),"Sürücü 2 dakika içinde gelecek, onunla buluşmaya hazır olun")</f>
        <v>Sürücü 2 dakika içinde gelecek, onunla buluşmaya hazır olun</v>
      </c>
      <c r="G429" s="4" t="str">
        <f>IFERROR(__xludf.DUMMYFUNCTION("GOOGLETRANSLATE(B429,""en"",""ru"")"),"Водитель прибудет в течение 2 минут, будьте готовы его встретить.")</f>
        <v>Водитель прибудет в течение 2 минут, будьте готовы его встретить.</v>
      </c>
      <c r="H429" s="4" t="str">
        <f>IFERROR(__xludf.DUMMYFUNCTION("GOOGLETRANSLATE(B429,""en"",""it"")"),"L'autista arriverà entro 2 minuti, sii pronto ad incontrarlo")</f>
        <v>L'autista arriverà entro 2 minuti, sii pronto ad incontrarlo</v>
      </c>
      <c r="I429" s="4" t="str">
        <f>IFERROR(__xludf.DUMMYFUNCTION("GOOGLETRANSLATE(B429,""en"",""de"")"),"Der Fahrer wird innerhalb von 2 Minuten eintreffen. Seien Sie bereit, ihn zu treffen")</f>
        <v>Der Fahrer wird innerhalb von 2 Minuten eintreffen. Seien Sie bereit, ihn zu treffen</v>
      </c>
      <c r="J429" s="4" t="str">
        <f>IFERROR(__xludf.DUMMYFUNCTION("GOOGLETRANSLATE(B429,""en"",""ko"")"),"운전자는 2분 이내에 도착하여 그를 만날 준비를 합니다.")</f>
        <v>운전자는 2분 이내에 도착하여 그를 만날 준비를 합니다.</v>
      </c>
      <c r="K429" s="4" t="str">
        <f>IFERROR(__xludf.DUMMYFUNCTION("GOOGLETRANSLATE(B429,""en"",""zh"")"),"司机将在 2 分钟内到达，准备迎接他")</f>
        <v>司机将在 2 分钟内到达，准备迎接他</v>
      </c>
      <c r="L429" s="4" t="str">
        <f>IFERROR(__xludf.DUMMYFUNCTION("GOOGLETRANSLATE(B429,""en"",""es"")"),"El conductor llegará en 2 minutos. Esté preparado para recibirlo.")</f>
        <v>El conductor llegará en 2 minutos. Esté preparado para recibirlo.</v>
      </c>
      <c r="M429" s="4" t="str">
        <f>IFERROR(__xludf.DUMMYFUNCTION("GOOGLETRANSLATE(B429,""en"",""iw"")"),"הנהג יגיע תוך 2 דקות מוכן לפגוש אותו")</f>
        <v>הנהג יגיע תוך 2 דקות מוכן לפגוש אותו</v>
      </c>
      <c r="N429" s="4" t="str">
        <f>IFERROR(__xludf.DUMMYFUNCTION("GOOGLETRANSLATE(B429,""en"",""bn"")"),"ড্রাইভার তার সাথে দেখা করার জন্য প্রস্তুত 2 মিনিটের মধ্যে আসবে")</f>
        <v>ড্রাইভার তার সাথে দেখা করার জন্য প্রস্তুত 2 মিনিটের মধ্যে আসবে</v>
      </c>
      <c r="O429" s="4" t="str">
        <f>IFERROR(__xludf.DUMMYFUNCTION("GOOGLETRANSLATE(B429,""en"",""pt"")"),"O motorista chegará em 2 minutos, esteja pronto para recebê-lo")</f>
        <v>O motorista chegará em 2 minutos, esteja pronto para recebê-lo</v>
      </c>
    </row>
    <row r="430">
      <c r="A430" s="42" t="s">
        <v>1078</v>
      </c>
      <c r="B430" s="29" t="s">
        <v>1079</v>
      </c>
      <c r="C430" s="4" t="str">
        <f>IFERROR(__xludf.DUMMYFUNCTION("GOOGLETRANSLATE(B430,""en"",""hi"")"),"ड्राइवर आ गया है")</f>
        <v>ड्राइवर आ गया है</v>
      </c>
      <c r="D430" s="4" t="str">
        <f>IFERROR(__xludf.DUMMYFUNCTION("GOOGLETRANSLATE(B430,""en"",""ar"")"),"لقد وصل السائق")</f>
        <v>لقد وصل السائق</v>
      </c>
      <c r="E430" s="4" t="str">
        <f>IFERROR(__xludf.DUMMYFUNCTION("GOOGLETRANSLATE(B430,""en"",""fr"")"),"Le chauffeur est arrivé")</f>
        <v>Le chauffeur est arrivé</v>
      </c>
      <c r="F430" s="4" t="str">
        <f>IFERROR(__xludf.DUMMYFUNCTION("GOOGLETRANSLATE(B430,""en"",""tr"")"),"Sürücü Geldi")</f>
        <v>Sürücü Geldi</v>
      </c>
      <c r="G430" s="4" t="str">
        <f>IFERROR(__xludf.DUMMYFUNCTION("GOOGLETRANSLATE(B430,""en"",""ru"")"),"Водитель прибыл")</f>
        <v>Водитель прибыл</v>
      </c>
      <c r="H430" s="4" t="str">
        <f>IFERROR(__xludf.DUMMYFUNCTION("GOOGLETRANSLATE(B430,""en"",""it"")"),"L'autista è arrivato")</f>
        <v>L'autista è arrivato</v>
      </c>
      <c r="I430" s="4" t="str">
        <f>IFERROR(__xludf.DUMMYFUNCTION("GOOGLETRANSLATE(B430,""en"",""de"")"),"Der Fahrer ist angekommen")</f>
        <v>Der Fahrer ist angekommen</v>
      </c>
      <c r="J430" s="4" t="str">
        <f>IFERROR(__xludf.DUMMYFUNCTION("GOOGLETRANSLATE(B430,""en"",""ko"")"),"운전자가 도착했습니다")</f>
        <v>운전자가 도착했습니다</v>
      </c>
      <c r="K430" s="4" t="str">
        <f>IFERROR(__xludf.DUMMYFUNCTION("GOOGLETRANSLATE(B430,""en"",""zh"")"),"司机已到达")</f>
        <v>司机已到达</v>
      </c>
      <c r="L430" s="4" t="str">
        <f>IFERROR(__xludf.DUMMYFUNCTION("GOOGLETRANSLATE(B430,""en"",""es"")"),"El conductor ha llegado")</f>
        <v>El conductor ha llegado</v>
      </c>
      <c r="M430" s="4" t="str">
        <f>IFERROR(__xludf.DUMMYFUNCTION("GOOGLETRANSLATE(B430,""en"",""iw"")"),"הנהג הגיע")</f>
        <v>הנהג הגיע</v>
      </c>
      <c r="N430" s="4" t="str">
        <f>IFERROR(__xludf.DUMMYFUNCTION("GOOGLETRANSLATE(B430,""en"",""bn"")"),"ড্রাইভার এসেছে")</f>
        <v>ড্রাইভার এসেছে</v>
      </c>
      <c r="O430" s="4" t="str">
        <f>IFERROR(__xludf.DUMMYFUNCTION("GOOGLETRANSLATE(B430,""en"",""pt"")"),"O motorista chegou")</f>
        <v>O motorista chegou</v>
      </c>
    </row>
    <row r="431">
      <c r="A431" s="42" t="s">
        <v>1080</v>
      </c>
      <c r="B431" s="29" t="s">
        <v>1081</v>
      </c>
      <c r="C431" s="4" t="str">
        <f>IFERROR(__xludf.DUMMYFUNCTION("GOOGLETRANSLATE(B431,""en"",""hi"")"),"ड्राइवर आ गया है। अतिरिक्त शुल्क से बचने के लिए, 3 मिनट के भीतर अपने ड्राइवर से मिलना सुनिश्चित करें।")</f>
        <v>ड्राइवर आ गया है। अतिरिक्त शुल्क से बचने के लिए, 3 मिनट के भीतर अपने ड्राइवर से मिलना सुनिश्चित करें।</v>
      </c>
      <c r="D431" s="4" t="str">
        <f>IFERROR(__xludf.DUMMYFUNCTION("GOOGLETRANSLATE(B431,""en"",""ar"")"),"وصل السائق. لتجنب رسوم إضافية، تأكد من مقابلة سائقك خلال 3 دقائق.")</f>
        <v>وصل السائق. لتجنب رسوم إضافية، تأكد من مقابلة سائقك خلال 3 دقائق.</v>
      </c>
      <c r="E431" s="4" t="str">
        <f>IFERROR(__xludf.DUMMYFUNCTION("GOOGLETRANSLATE(B431,""en"",""fr"")"),"Le chauffeur est arrivé. Pour éviter des frais supplémentaires, rendez-vous dans les 3 minutes.")</f>
        <v>Le chauffeur est arrivé. Pour éviter des frais supplémentaires, rendez-vous dans les 3 minutes.</v>
      </c>
      <c r="F431" s="4" t="str">
        <f>IFERROR(__xludf.DUMMYFUNCTION("GOOGLETRANSLATE(B431,""en"",""tr"")"),"Sürücü geldi. Ek ücretlerden kaçınmak için sürücünüzle 3 dakika içinde buluştuğunuzdan emin olun.")</f>
        <v>Sürücü geldi. Ek ücretlerden kaçınmak için sürücünüzle 3 dakika içinde buluştuğunuzdan emin olun.</v>
      </c>
      <c r="G431" s="4" t="str">
        <f>IFERROR(__xludf.DUMMYFUNCTION("GOOGLETRANSLATE(B431,""en"",""ru"")"),"Водитель прибыл. Чтобы избежать дополнительных сборов, обязательно подождите 3 минуты.")</f>
        <v>Водитель прибыл. Чтобы избежать дополнительных сборов, обязательно подождите 3 минуты.</v>
      </c>
      <c r="H431" s="4" t="str">
        <f>IFERROR(__xludf.DUMMYFUNCTION("GOOGLETRANSLATE(B431,""en"",""it"")"),"L'autista è arrivato. Per evitare costi aggiuntivi, assicurati di incontrare l'autista entro 3 minuti.")</f>
        <v>L'autista è arrivato. Per evitare costi aggiuntivi, assicurati di incontrare l'autista entro 3 minuti.</v>
      </c>
      <c r="I431" s="4" t="str">
        <f>IFERROR(__xludf.DUMMYFUNCTION("GOOGLETRANSLATE(B431,""en"",""de"")"),"Der Fahrer ist angekommen. Um zusätzliche Gebühren zu vermeiden, treffen Sie Ihren Fahrer innerhalb von 3 Minuten")</f>
        <v>Der Fahrer ist angekommen. Um zusätzliche Gebühren zu vermeiden, treffen Sie Ihren Fahrer innerhalb von 3 Minuten</v>
      </c>
      <c r="J431" s="4" t="str">
        <f>IFERROR(__xludf.DUMMYFUNCTION("GOOGLETRANSLATE(B431,""en"",""ko"")"),"운전기사가 도착했습니다. 추가 요금을 피하려면 3분 이내에 운전기사를 만나세요.")</f>
        <v>운전기사가 도착했습니다. 추가 요금을 피하려면 3분 이내에 운전기사를 만나세요.</v>
      </c>
      <c r="K431" s="4" t="str">
        <f>IFERROR(__xludf.DUMMYFUNCTION("GOOGLETRANSLATE(B431,""en"",""zh"")"),"司机已到达。为避免额外费用，请务必在 3 分钟内与司机会面")</f>
        <v>司机已到达。为避免额外费用，请务必在 3 分钟内与司机会面</v>
      </c>
      <c r="L431" s="4" t="str">
        <f>IFERROR(__xludf.DUMMYFUNCTION("GOOGLETRANSLATE(B431,""en"",""es"")"),"El conductor ya llegó. Para evitar cargos adicionales, asegúrese de reunirse con su conductor en 3 minutos.")</f>
        <v>El conductor ya llegó. Para evitar cargos adicionales, asegúrese de reunirse con su conductor en 3 minutos.</v>
      </c>
      <c r="M431" s="4" t="str">
        <f>IFERROR(__xludf.DUMMYFUNCTION("GOOGLETRANSLATE(B431,""en"",""iw"")"),"הנהג הגיע. כדי למנוע עמלות נוספות, הקפד לפגוש את הנהג שלך תוך 3 דקות")</f>
        <v>הנהג הגיע. כדי למנוע עמלות נוספות, הקפד לפגוש את הנהג שלך תוך 3 דקות</v>
      </c>
      <c r="N431" s="4" t="str">
        <f>IFERROR(__xludf.DUMMYFUNCTION("GOOGLETRANSLATE(B431,""en"",""bn"")"),"ড্রাইভার এসেছে। অতিরিক্ত ফি এড়াতে, 3 মিনিটের মধ্যে আপনার ড্রাইভারের সাথে দেখা করতে ভুলবেন না")</f>
        <v>ড্রাইভার এসেছে। অতিরিক্ত ফি এড়াতে, 3 মিনিটের মধ্যে আপনার ড্রাইভারের সাথে দেখা করতে ভুলবেন না</v>
      </c>
      <c r="O431" s="4" t="str">
        <f>IFERROR(__xludf.DUMMYFUNCTION("GOOGLETRANSLATE(B431,""en"",""pt"")"),"O motorista chegou. Para evitar taxas extras, certifique-se de encontrá-lo em até 3 minutos.")</f>
        <v>O motorista chegou. Para evitar taxas extras, certifique-se de encontrá-lo em até 3 minutos.</v>
      </c>
    </row>
    <row r="432">
      <c r="A432" s="42" t="s">
        <v>1082</v>
      </c>
      <c r="B432" s="29" t="s">
        <v>1083</v>
      </c>
      <c r="C432" s="4" t="str">
        <f>IFERROR(__xludf.DUMMYFUNCTION("GOOGLETRANSLATE(B432,""en"",""hi"")"),"आप ऑर्डर रद्द क्यों करना चाहते हैं?")</f>
        <v>आप ऑर्डर रद्द क्यों करना चाहते हैं?</v>
      </c>
      <c r="D432" s="4" t="str">
        <f>IFERROR(__xludf.DUMMYFUNCTION("GOOGLETRANSLATE(B432,""en"",""ar"")"),"لماذا تريد إلغاء الطلب؟")</f>
        <v>لماذا تريد إلغاء الطلب؟</v>
      </c>
      <c r="E432" s="4" t="str">
        <f>IFERROR(__xludf.DUMMYFUNCTION("GOOGLETRANSLATE(B432,""en"",""fr"")"),"Pourquoi souhaitez-vous annuler la commande ?")</f>
        <v>Pourquoi souhaitez-vous annuler la commande ?</v>
      </c>
      <c r="F432" s="4" t="str">
        <f>IFERROR(__xludf.DUMMYFUNCTION("GOOGLETRANSLATE(B432,""en"",""tr"")"),"Siparişi neden iptal etmek istiyorsunuz?")</f>
        <v>Siparişi neden iptal etmek istiyorsunuz?</v>
      </c>
      <c r="G432" s="4" t="str">
        <f>IFERROR(__xludf.DUMMYFUNCTION("GOOGLETRANSLATE(B432,""en"",""ru"")"),"Почему вы хотите отменить заказ?")</f>
        <v>Почему вы хотите отменить заказ?</v>
      </c>
      <c r="H432" s="4" t="str">
        <f>IFERROR(__xludf.DUMMYFUNCTION("GOOGLETRANSLATE(B432,""en"",""it"")"),"Perché vuoi annullare l'ordine?")</f>
        <v>Perché vuoi annullare l'ordine?</v>
      </c>
      <c r="I432" s="4" t="str">
        <f>IFERROR(__xludf.DUMMYFUNCTION("GOOGLETRANSLATE(B432,""en"",""de"")"),"Warum möchten Sie die Bestellung stornieren?")</f>
        <v>Warum möchten Sie die Bestellung stornieren?</v>
      </c>
      <c r="J432" s="4" t="str">
        <f>IFERROR(__xludf.DUMMYFUNCTION("GOOGLETRANSLATE(B432,""en"",""ko"")"),"주문을 취소하고 싶은 이유는 무엇인가요?")</f>
        <v>주문을 취소하고 싶은 이유는 무엇인가요?</v>
      </c>
      <c r="K432" s="4" t="str">
        <f>IFERROR(__xludf.DUMMYFUNCTION("GOOGLETRANSLATE(B432,""en"",""zh"")"),"为什么要取消订单？")</f>
        <v>为什么要取消订单？</v>
      </c>
      <c r="L432" s="4" t="str">
        <f>IFERROR(__xludf.DUMMYFUNCTION("GOOGLETRANSLATE(B432,""en"",""es"")"),"¿Por qué desea cancelar el pedido?")</f>
        <v>¿Por qué desea cancelar el pedido?</v>
      </c>
      <c r="M432" s="4" t="str">
        <f>IFERROR(__xludf.DUMMYFUNCTION("GOOGLETRANSLATE(B432,""en"",""iw"")"),"למה אתה רוצה לבטל הזמנה?")</f>
        <v>למה אתה רוצה לבטל הזמנה?</v>
      </c>
      <c r="N432" s="4" t="str">
        <f>IFERROR(__xludf.DUMMYFUNCTION("GOOGLETRANSLATE(B432,""en"",""bn"")"),"কেন আপনি অর্ডার বাতিল করতে চান?")</f>
        <v>কেন আপনি অর্ডার বাতিল করতে চান?</v>
      </c>
      <c r="O432" s="4" t="str">
        <f>IFERROR(__xludf.DUMMYFUNCTION("GOOGLETRANSLATE(B432,""en"",""pt"")"),"Por que você quer cancelar o pedido?")</f>
        <v>Por que você quer cancelar o pedido?</v>
      </c>
    </row>
    <row r="433">
      <c r="A433" s="42" t="s">
        <v>1084</v>
      </c>
      <c r="B433" s="29" t="s">
        <v>1085</v>
      </c>
      <c r="C433" s="4" t="str">
        <f>IFERROR(__xludf.DUMMYFUNCTION("GOOGLETRANSLATE(B433,""en"",""hi"")"),"आप इस यात्रा की रिपोर्ट क्यों करना चाहते हैं?")</f>
        <v>आप इस यात्रा की रिपोर्ट क्यों करना चाहते हैं?</v>
      </c>
      <c r="D433" s="4" t="str">
        <f>IFERROR(__xludf.DUMMYFUNCTION("GOOGLETRANSLATE(B433,""en"",""ar"")"),"لماذا تريد الإبلاغ عن هذه الرحلة؟")</f>
        <v>لماذا تريد الإبلاغ عن هذه الرحلة؟</v>
      </c>
      <c r="E433" s="4" t="str">
        <f>IFERROR(__xludf.DUMMYFUNCTION("GOOGLETRANSLATE(B433,""en"",""fr"")"),"Pourquoi voulez-vous signaler ce voyage ?")</f>
        <v>Pourquoi voulez-vous signaler ce voyage ?</v>
      </c>
      <c r="F433" s="4" t="str">
        <f>IFERROR(__xludf.DUMMYFUNCTION("GOOGLETRANSLATE(B433,""en"",""tr"")"),"Bu Geziyi Neden Bildirmek İstiyorsunuz?")</f>
        <v>Bu Geziyi Neden Bildirmek İstiyorsunuz?</v>
      </c>
      <c r="G433" s="4" t="str">
        <f>IFERROR(__xludf.DUMMYFUNCTION("GOOGLETRANSLATE(B433,""en"",""ru"")"),"Почему вы хотите сообщить об этой поездке?")</f>
        <v>Почему вы хотите сообщить об этой поездке?</v>
      </c>
      <c r="H433" s="4" t="str">
        <f>IFERROR(__xludf.DUMMYFUNCTION("GOOGLETRANSLATE(B433,""en"",""it"")"),"Perché vuoi raccontare questo viaggio?")</f>
        <v>Perché vuoi raccontare questo viaggio?</v>
      </c>
      <c r="I433" s="4" t="str">
        <f>IFERROR(__xludf.DUMMYFUNCTION("GOOGLETRANSLATE(B433,""en"",""de"")"),"Warum möchten Sie diese Reise melden?")</f>
        <v>Warum möchten Sie diese Reise melden?</v>
      </c>
      <c r="J433" s="4" t="str">
        <f>IFERROR(__xludf.DUMMYFUNCTION("GOOGLETRANSLATE(B433,""en"",""ko"")"),"이 여행을 보고하고 싶은 이유는 무엇입니까?")</f>
        <v>이 여행을 보고하고 싶은 이유는 무엇입니까?</v>
      </c>
      <c r="K433" s="4" t="str">
        <f>IFERROR(__xludf.DUMMYFUNCTION("GOOGLETRANSLATE(B433,""en"",""zh"")"),"你为什么要举报这次旅行？")</f>
        <v>你为什么要举报这次旅行？</v>
      </c>
      <c r="L433" s="4" t="str">
        <f>IFERROR(__xludf.DUMMYFUNCTION("GOOGLETRANSLATE(B433,""en"",""es"")"),"¿Por qué quieres reportar este viaje?")</f>
        <v>¿Por qué quieres reportar este viaje?</v>
      </c>
      <c r="M433" s="4" t="str">
        <f>IFERROR(__xludf.DUMMYFUNCTION("GOOGLETRANSLATE(B433,""en"",""iw"")"),"למה אתה רוצה לדווח על טיול זה?")</f>
        <v>למה אתה רוצה לדווח על טיול זה?</v>
      </c>
      <c r="N433" s="4" t="str">
        <f>IFERROR(__xludf.DUMMYFUNCTION("GOOGLETRANSLATE(B433,""en"",""bn"")"),"কেন আপনি এই ট্রিপ রিপোর্ট করতে চান?")</f>
        <v>কেন আপনি এই ট্রিপ রিপোর্ট করতে চান?</v>
      </c>
      <c r="O433" s="4" t="str">
        <f>IFERROR(__xludf.DUMMYFUNCTION("GOOGLETRANSLATE(B433,""en"",""pt"")"),"Por que você quer denunciar esta viagem?")</f>
        <v>Por que você quer denunciar esta viagem?</v>
      </c>
    </row>
    <row r="434">
      <c r="A434" s="47" t="s">
        <v>1086</v>
      </c>
      <c r="B434" s="48" t="s">
        <v>1087</v>
      </c>
      <c r="C434" s="4" t="str">
        <f>IFERROR(__xludf.DUMMYFUNCTION("GOOGLETRANSLATE(B434,""en"",""hi"")"),"हम आपके द्वारा हमारे ऐप को सुरक्षित रखने में मदद करने के लिए आभारी हैं")</f>
        <v>हम आपके द्वारा हमारे ऐप को सुरक्षित रखने में मदद करने के लिए आभारी हैं</v>
      </c>
      <c r="D434" s="4" t="str">
        <f>IFERROR(__xludf.DUMMYFUNCTION("GOOGLETRANSLATE(B434,""en"",""ar"")"),"نحن نقدر مساعدتك لنا في الحفاظ على تطبيقنا آمنًا")</f>
        <v>نحن نقدر مساعدتك لنا في الحفاظ على تطبيقنا آمنًا</v>
      </c>
      <c r="E434" s="4" t="str">
        <f>IFERROR(__xludf.DUMMYFUNCTION("GOOGLETRANSLATE(B434,""en"",""fr"")"),"Nous vous remercions de nous aider à assurer la sécurité de notre application.")</f>
        <v>Nous vous remercions de nous aider à assurer la sécurité de notre application.</v>
      </c>
      <c r="F434" s="4" t="str">
        <f>IFERROR(__xludf.DUMMYFUNCTION("GOOGLETRANSLATE(B434,""en"",""tr"")"),"Uygulamamızı güvenli tutmamıza yardımcı olduğunuz için teşekkür ederiz")</f>
        <v>Uygulamamızı güvenli tutmamıza yardımcı olduğunuz için teşekkür ederiz</v>
      </c>
      <c r="G434" s="4" t="str">
        <f>IFERROR(__xludf.DUMMYFUNCTION("GOOGLETRANSLATE(B434,""en"",""ru"")"),"Мы ценим то, что вы помогаете нам обеспечивать безопасность нашего приложения.")</f>
        <v>Мы ценим то, что вы помогаете нам обеспечивать безопасность нашего приложения.</v>
      </c>
      <c r="H434" s="4" t="str">
        <f>IFERROR(__xludf.DUMMYFUNCTION("GOOGLETRANSLATE(B434,""en"",""it"")"),"Apprezziamo il tuo aiuto per mantenere la nostra app sicura")</f>
        <v>Apprezziamo il tuo aiuto per mantenere la nostra app sicura</v>
      </c>
      <c r="I434" s="4" t="str">
        <f>IFERROR(__xludf.DUMMYFUNCTION("GOOGLETRANSLATE(B434,""en"",""de"")"),"Wir freuen uns, dass Sie uns helfen, unsere App sicher zu halten")</f>
        <v>Wir freuen uns, dass Sie uns helfen, unsere App sicher zu halten</v>
      </c>
      <c r="J434" s="4" t="str">
        <f>IFERROR(__xludf.DUMMYFUNCTION("GOOGLETRANSLATE(B434,""en"",""ko"")"),"저희 앱을 안전하게 유지하는 데 도움을 주셔서 감사합니다.")</f>
        <v>저희 앱을 안전하게 유지하는 데 도움을 주셔서 감사합니다.</v>
      </c>
      <c r="K434" s="4" t="str">
        <f>IFERROR(__xludf.DUMMYFUNCTION("GOOGLETRANSLATE(B434,""en"",""zh"")"),"我们感谢您帮助我们保障应用程序的安全")</f>
        <v>我们感谢您帮助我们保障应用程序的安全</v>
      </c>
      <c r="L434" s="4" t="str">
        <f>IFERROR(__xludf.DUMMYFUNCTION("GOOGLETRANSLATE(B434,""en"",""es"")"),"Agradecemos su ayuda para mantener nuestra aplicación segura.")</f>
        <v>Agradecemos su ayuda para mantener nuestra aplicación segura.</v>
      </c>
      <c r="M434" s="4" t="str">
        <f>IFERROR(__xludf.DUMMYFUNCTION("GOOGLETRANSLATE(B434,""en"",""iw"")"),"אנו מעריכים שאתה עוזר לנו לשמור על האפליקציה שלנו בטוחה")</f>
        <v>אנו מעריכים שאתה עוזר לנו לשמור על האפליקציה שלנו בטוחה</v>
      </c>
      <c r="N434" s="4" t="str">
        <f>IFERROR(__xludf.DUMMYFUNCTION("GOOGLETRANSLATE(B434,""en"",""bn"")"),"আমাদের অ্যাপকে সুরক্ষিত রাখতে সাহায্য করার জন্য আমরা কৃতজ্ঞ")</f>
        <v>আমাদের অ্যাপকে সুরক্ষিত রাখতে সাহায্য করার জন্য আমরা কৃতজ্ঞ</v>
      </c>
      <c r="O434" s="4" t="str">
        <f>IFERROR(__xludf.DUMMYFUNCTION("GOOGLETRANSLATE(B434,""en"",""pt"")"),"Agradecemos sua ajuda para manter nosso aplicativo seguro")</f>
        <v>Agradecemos sua ajuda para manter nosso aplicativo seguro</v>
      </c>
    </row>
    <row r="435">
      <c r="A435" s="47" t="s">
        <v>1088</v>
      </c>
      <c r="B435" s="48" t="s">
        <v>1089</v>
      </c>
      <c r="C435" s="4" t="str">
        <f>IFERROR(__xludf.DUMMYFUNCTION("GOOGLETRANSLATE(B435,""en"",""hi"")"),"अब हमें मौका देने के लिए धन्यवाद")</f>
        <v>अब हमें मौका देने के लिए धन्यवाद</v>
      </c>
      <c r="D435" s="4" t="str">
        <f>IFERROR(__xludf.DUMMYFUNCTION("GOOGLETRANSLATE(B435,""en"",""ar"")"),"شكرا للسماح لنا الآن")</f>
        <v>شكرا للسماح لنا الآن</v>
      </c>
      <c r="E435" s="4" t="str">
        <f>IFERROR(__xludf.DUMMYFUNCTION("GOOGLETRANSLATE(B435,""en"",""fr"")"),"Merci de nous l'avoir fait savoir maintenant")</f>
        <v>Merci de nous l'avoir fait savoir maintenant</v>
      </c>
      <c r="F435" s="4" t="str">
        <f>IFERROR(__xludf.DUMMYFUNCTION("GOOGLETRANSLATE(B435,""en"",""tr"")"),"Bize şimdi izin verdiğiniz için teşekkürler")</f>
        <v>Bize şimdi izin verdiğiniz için teşekkürler</v>
      </c>
      <c r="G435" s="4" t="str">
        <f>IFERROR(__xludf.DUMMYFUNCTION("GOOGLETRANSLATE(B435,""en"",""ru"")"),"Спасибо, что позволили нам сейчас")</f>
        <v>Спасибо, что позволили нам сейчас</v>
      </c>
      <c r="H435" s="4" t="str">
        <f>IFERROR(__xludf.DUMMYFUNCTION("GOOGLETRANSLATE(B435,""en"",""it"")"),"Grazie per avercelo fatto sapere ora")</f>
        <v>Grazie per avercelo fatto sapere ora</v>
      </c>
      <c r="I435" s="4" t="str">
        <f>IFERROR(__xludf.DUMMYFUNCTION("GOOGLETRANSLATE(B435,""en"",""de"")"),"Danke, dass Sie uns jetzt")</f>
        <v>Danke, dass Sie uns jetzt</v>
      </c>
      <c r="J435" s="4" t="str">
        <f>IFERROR(__xludf.DUMMYFUNCTION("GOOGLETRANSLATE(B435,""en"",""ko"")"),"지금 알려주셔서 감사합니다")</f>
        <v>지금 알려주셔서 감사합니다</v>
      </c>
      <c r="K435" s="4" t="str">
        <f>IFERROR(__xludf.DUMMYFUNCTION("GOOGLETRANSLATE(B435,""en"",""zh"")"),"感谢您现在让我们")</f>
        <v>感谢您现在让我们</v>
      </c>
      <c r="L435" s="4" t="str">
        <f>IFERROR(__xludf.DUMMYFUNCTION("GOOGLETRANSLATE(B435,""en"",""es"")"),"Gracias por dejarnos saber")</f>
        <v>Gracias por dejarnos saber</v>
      </c>
      <c r="M435" s="4" t="str">
        <f>IFERROR(__xludf.DUMMYFUNCTION("GOOGLETRANSLATE(B435,""en"",""iw"")"),"תודה שאיפשרת לנו עכשיו")</f>
        <v>תודה שאיפשרת לנו עכשיו</v>
      </c>
      <c r="N435" s="4" t="str">
        <f>IFERROR(__xludf.DUMMYFUNCTION("GOOGLETRANSLATE(B435,""en"",""bn"")"),"এখন আমাদের দেওয়া জন্য ধন্যবাদ")</f>
        <v>এখন আমাদের দেওয়া জন্য ধন্যবাদ</v>
      </c>
      <c r="O435" s="4" t="str">
        <f>IFERROR(__xludf.DUMMYFUNCTION("GOOGLETRANSLATE(B435,""en"",""pt"")"),"Obrigado por nos deixar agora")</f>
        <v>Obrigado por nos deixar agora</v>
      </c>
    </row>
    <row r="436">
      <c r="A436" s="47" t="s">
        <v>1090</v>
      </c>
      <c r="B436" s="48" t="s">
        <v>1091</v>
      </c>
      <c r="C436" s="4" t="str">
        <f>IFERROR(__xludf.DUMMYFUNCTION("GOOGLETRANSLATE(B436,""en"",""hi"")"),"यह फ़ीडबैक हमारे ऐप समुदाय को सभी के लिए सुरक्षित बनाए रखने में हमारी सहायता करने के लिए महत्वपूर्ण है")</f>
        <v>यह फ़ीडबैक हमारे ऐप समुदाय को सभी के लिए सुरक्षित बनाए रखने में हमारी सहायता करने के लिए महत्वपूर्ण है</v>
      </c>
      <c r="D436" s="4" t="str">
        <f>IFERROR(__xludf.DUMMYFUNCTION("GOOGLETRANSLATE(B436,""en"",""ar"")"),"هذه الملاحظات مهمة لمساعدتنا في الحفاظ على مجتمع التطبيقات الخاص بنا آمنًا ومأمونًا للجميع")</f>
        <v>هذه الملاحظات مهمة لمساعدتنا في الحفاظ على مجتمع التطبيقات الخاص بنا آمنًا ومأمونًا للجميع</v>
      </c>
      <c r="E436" s="4" t="str">
        <f>IFERROR(__xludf.DUMMYFUNCTION("GOOGLETRANSLATE(B436,""en"",""fr"")"),"Ces commentaires sont importants pour nous aider à assurer la sécurité de notre communauté d'applications pour tous.")</f>
        <v>Ces commentaires sont importants pour nous aider à assurer la sécurité de notre communauté d'applications pour tous.</v>
      </c>
      <c r="F436" s="4" t="str">
        <f>IFERROR(__xludf.DUMMYFUNCTION("GOOGLETRANSLATE(B436,""en"",""tr"")"),"Bu geri bildirim, Uygulama Topluluğumuzu herkes için güvenli ve emniyetli tutmamıza yardımcı olması açısından önemlidir.")</f>
        <v>Bu geri bildirim, Uygulama Topluluğumuzu herkes için güvenli ve emniyetli tutmamıza yardımcı olması açısından önemlidir.</v>
      </c>
      <c r="G436" s="4" t="str">
        <f>IFERROR(__xludf.DUMMYFUNCTION("GOOGLETRANSLATE(B436,""en"",""ru"")"),"Ваши отзывы важны для нас, поскольку они помогают нам обеспечивать безопасность и защищенность нашего сообщества приложений для всех.")</f>
        <v>Ваши отзывы важны для нас, поскольку они помогают нам обеспечивать безопасность и защищенность нашего сообщества приложений для всех.</v>
      </c>
      <c r="H436" s="4" t="str">
        <f>IFERROR(__xludf.DUMMYFUNCTION("GOOGLETRANSLATE(B436,""en"",""it"")"),"Questo feedback è importante per aiutarci a mantenere la nostra community di app sicura e protetta per tutti")</f>
        <v>Questo feedback è importante per aiutarci a mantenere la nostra community di app sicura e protetta per tutti</v>
      </c>
      <c r="I436" s="4" t="str">
        <f>IFERROR(__xludf.DUMMYFUNCTION("GOOGLETRANSLATE(B436,""en"",""de"")"),"Dieses Feedback ist wichtig, um uns dabei zu helfen, die Sicherheit unserer App-Community für alle zu gewährleisten.")</f>
        <v>Dieses Feedback ist wichtig, um uns dabei zu helfen, die Sicherheit unserer App-Community für alle zu gewährleisten.</v>
      </c>
      <c r="J436" s="4" t="str">
        <f>IFERROR(__xludf.DUMMYFUNCTION("GOOGLETRANSLATE(B436,""en"",""ko"")"),"이 피드백은 모든 사람을 위해 앱 커뮤니티를 안전하고 보안적으로 유지하는 데 중요합니다.")</f>
        <v>이 피드백은 모든 사람을 위해 앱 커뮤니티를 안전하고 보안적으로 유지하는 데 중요합니다.</v>
      </c>
      <c r="K436" s="4" t="str">
        <f>IFERROR(__xludf.DUMMYFUNCTION("GOOGLETRANSLATE(B436,""en"",""zh"")"),"这些反馈对于帮助我们确保我们的应用社区对每个人都安全非常重要。")</f>
        <v>这些反馈对于帮助我们确保我们的应用社区对每个人都安全非常重要。</v>
      </c>
      <c r="L436" s="4" t="str">
        <f>IFERROR(__xludf.DUMMYFUNCTION("GOOGLETRANSLATE(B436,""en"",""es"")"),"Estos comentarios son importantes para ayudarnos a mantener nuestra comunidad de aplicaciones segura para todos.")</f>
        <v>Estos comentarios son importantes para ayudarnos a mantener nuestra comunidad de aplicaciones segura para todos.</v>
      </c>
      <c r="M436" s="4" t="str">
        <f>IFERROR(__xludf.DUMMYFUNCTION("GOOGLETRANSLATE(B436,""en"",""iw"")"),"המשוב הזה חשוב כדי לעזור לנו לשמור על קהילת האפליקציות שלנו בטוחה ומאובטחת לכולם")</f>
        <v>המשוב הזה חשוב כדי לעזור לנו לשמור על קהילת האפליקציות שלנו בטוחה ומאובטחת לכולם</v>
      </c>
      <c r="N436" s="4" t="str">
        <f>IFERROR(__xludf.DUMMYFUNCTION("GOOGLETRANSLATE(B436,""en"",""bn"")"),"আমাদের অ্যাপ কমিউনিটিকে সবার জন্য সুরক্ষিত রাখতে সাহায্য করার জন্য এই প্রতিক্রিয়াটি গুরুত্বপূর্ণ")</f>
        <v>আমাদের অ্যাপ কমিউনিটিকে সবার জন্য সুরক্ষিত রাখতে সাহায্য করার জন্য এই প্রতিক্রিয়াটি গুরুত্বপূর্ণ</v>
      </c>
      <c r="O436" s="4" t="str">
        <f>IFERROR(__xludf.DUMMYFUNCTION("GOOGLETRANSLATE(B436,""en"",""pt"")"),"Este feedback é importante para nos ajudar a manter nossa comunidade de aplicativos segura e protegida para todos")</f>
        <v>Este feedback é importante para nos ajudar a manter nossa comunidade de aplicativos segura e protegida para todos</v>
      </c>
    </row>
    <row r="437">
      <c r="A437" s="49" t="s">
        <v>1092</v>
      </c>
      <c r="B437" s="50" t="s">
        <v>1093</v>
      </c>
      <c r="C437" s="4" t="str">
        <f>IFERROR(__xludf.DUMMYFUNCTION("GOOGLETRANSLATE(B437,""en"",""hi"")"),"आपको भेजा गया OTP नंबर दर्ज करें")</f>
        <v>आपको भेजा गया OTP नंबर दर्ज करें</v>
      </c>
      <c r="D437" s="4" t="str">
        <f>IFERROR(__xludf.DUMMYFUNCTION("GOOGLETRANSLATE(B437,""en"",""ar"")"),"أدخل رقم OTP المرسل إليك على")</f>
        <v>أدخل رقم OTP المرسل إليك على</v>
      </c>
      <c r="E437" s="4" t="str">
        <f>IFERROR(__xludf.DUMMYFUNCTION("GOOGLETRANSLATE(B437,""en"",""fr"")"),"Saisissez le numéro OTP qui vous a été envoyé à")</f>
        <v>Saisissez le numéro OTP qui vous a été envoyé à</v>
      </c>
      <c r="F437" s="4" t="str">
        <f>IFERROR(__xludf.DUMMYFUNCTION("GOOGLETRANSLATE(B437,""en"",""tr"")"),"Size gönderilen OTP numarasını girin")</f>
        <v>Size gönderilen OTP numarasını girin</v>
      </c>
      <c r="G437" s="4" t="str">
        <f>IFERROR(__xludf.DUMMYFUNCTION("GOOGLETRANSLATE(B437,""en"",""ru"")"),"Введите номер одноразового пароля, отправленный вам на адрес")</f>
        <v>Введите номер одноразового пароля, отправленный вам на адрес</v>
      </c>
      <c r="H437" s="4" t="str">
        <f>IFERROR(__xludf.DUMMYFUNCTION("GOOGLETRANSLATE(B437,""en"",""it"")"),"Inserisci il numero OTP che ti è stato inviato a")</f>
        <v>Inserisci il numero OTP che ti è stato inviato a</v>
      </c>
      <c r="I437" s="4" t="str">
        <f>IFERROR(__xludf.DUMMYFUNCTION("GOOGLETRANSLATE(B437,""en"",""de"")"),"Geben Sie die OTP-Nummer ein, die Ihnen zugesandt wurde an")</f>
        <v>Geben Sie die OTP-Nummer ein, die Ihnen zugesandt wurde an</v>
      </c>
      <c r="J437" s="4" t="str">
        <f>IFERROR(__xludf.DUMMYFUNCTION("GOOGLETRANSLATE(B437,""en"",""ko"")"),"귀하에게 전송된 OTP 번호를 입력하세요")</f>
        <v>귀하에게 전송된 OTP 번호를 입력하세요</v>
      </c>
      <c r="K437" s="4" t="str">
        <f>IFERROR(__xludf.DUMMYFUNCTION("GOOGLETRANSLATE(B437,""en"",""zh"")"),"输入发送给您的 OTP 号码")</f>
        <v>输入发送给您的 OTP 号码</v>
      </c>
      <c r="L437" s="4" t="str">
        <f>IFERROR(__xludf.DUMMYFUNCTION("GOOGLETRANSLATE(B437,""en"",""es"")"),"Ingrese el número OTP que le enviamos a")</f>
        <v>Ingrese el número OTP que le enviamos a</v>
      </c>
      <c r="M437" s="4" t="str">
        <f>IFERROR(__xludf.DUMMYFUNCTION("GOOGLETRANSLATE(B437,""en"",""iw"")"),"הזן את מספר ה-OTP שנשלח אליך בכתובת ")</f>
        <v>הזן את מספר ה-OTP שנשלח אליך בכתובת </v>
      </c>
      <c r="N437" s="4" t="str">
        <f>IFERROR(__xludf.DUMMYFUNCTION("GOOGLETRANSLATE(B437,""en"",""bn"")"),"আপনার কাছে পাঠানো OTP নম্বরটি লিখুন ")</f>
        <v>আপনার কাছে পাঠানো OTP নম্বরটি লিখুন </v>
      </c>
      <c r="O437" s="4" t="str">
        <f>IFERROR(__xludf.DUMMYFUNCTION("GOOGLETRANSLATE(B437,""en"",""pt"")"),"Digite o número OTP enviado a você em")</f>
        <v>Digite o número OTP enviado a você em</v>
      </c>
    </row>
    <row r="438">
      <c r="A438" s="49" t="s">
        <v>1094</v>
      </c>
      <c r="B438" s="50" t="s">
        <v>1095</v>
      </c>
      <c r="C438" s="4" t="str">
        <f>IFERROR(__xludf.DUMMYFUNCTION("GOOGLETRANSLATE(B438,""en"",""hi"")"),"OTP पुनः भेजें")</f>
        <v>OTP पुनः भेजें</v>
      </c>
      <c r="D438" s="4" t="str">
        <f>IFERROR(__xludf.DUMMYFUNCTION("GOOGLETRANSLATE(B438,""en"",""ar"")"),"إعادة إرسال OTP")</f>
        <v>إعادة إرسال OTP</v>
      </c>
      <c r="E438" s="4" t="str">
        <f>IFERROR(__xludf.DUMMYFUNCTION("GOOGLETRANSLATE(B438,""en"",""fr"")"),"Renvoyer l'OTP")</f>
        <v>Renvoyer l'OTP</v>
      </c>
      <c r="F438" s="4" t="str">
        <f>IFERROR(__xludf.DUMMYFUNCTION("GOOGLETRANSLATE(B438,""en"",""tr"")"),"OTP'yi yeniden gönder")</f>
        <v>OTP'yi yeniden gönder</v>
      </c>
      <c r="G438" s="4" t="str">
        <f>IFERROR(__xludf.DUMMYFUNCTION("GOOGLETRANSLATE(B438,""en"",""ru"")"),"Отправить повторно одноразовый пароль")</f>
        <v>Отправить повторно одноразовый пароль</v>
      </c>
      <c r="H438" s="4" t="str">
        <f>IFERROR(__xludf.DUMMYFUNCTION("GOOGLETRANSLATE(B438,""en"",""it"")"),"Invia nuovamente OTP")</f>
        <v>Invia nuovamente OTP</v>
      </c>
      <c r="I438" s="4" t="str">
        <f>IFERROR(__xludf.DUMMYFUNCTION("GOOGLETRANSLATE(B438,""en"",""de"")"),"OTP erneut senden")</f>
        <v>OTP erneut senden</v>
      </c>
      <c r="J438" s="4" t="str">
        <f>IFERROR(__xludf.DUMMYFUNCTION("GOOGLETRANSLATE(B438,""en"",""ko"")"),"OTP 재전송")</f>
        <v>OTP 재전송</v>
      </c>
      <c r="K438" s="4" t="str">
        <f>IFERROR(__xludf.DUMMYFUNCTION("GOOGLETRANSLATE(B438,""en"",""zh"")"),"重新发送一次性密码")</f>
        <v>重新发送一次性密码</v>
      </c>
      <c r="L438" s="4" t="str">
        <f>IFERROR(__xludf.DUMMYFUNCTION("GOOGLETRANSLATE(B438,""en"",""es"")"),"Reenviar OTP")</f>
        <v>Reenviar OTP</v>
      </c>
      <c r="M438" s="4" t="str">
        <f>IFERROR(__xludf.DUMMYFUNCTION("GOOGLETRANSLATE(B438,""en"",""iw"")"),"שלח שוב OTP")</f>
        <v>שלח שוב OTP</v>
      </c>
      <c r="N438" s="4" t="str">
        <f>IFERROR(__xludf.DUMMYFUNCTION("GOOGLETRANSLATE(B438,""en"",""bn"")"),"OTP আবার পাঠান")</f>
        <v>OTP আবার পাঠান</v>
      </c>
      <c r="O438" s="4" t="str">
        <f>IFERROR(__xludf.DUMMYFUNCTION("GOOGLETRANSLATE(B438,""en"",""pt"")"),"Reenviar OTP")</f>
        <v>Reenviar OTP</v>
      </c>
    </row>
    <row r="439">
      <c r="A439" s="51" t="s">
        <v>1096</v>
      </c>
      <c r="B439" s="50" t="s">
        <v>1097</v>
      </c>
      <c r="C439" s="4" t="str">
        <f>IFERROR(__xludf.DUMMYFUNCTION("GOOGLETRANSLATE(B439,""en"",""hi"")"),"समस्या है")</f>
        <v>समस्या है</v>
      </c>
      <c r="D439" s="4" t="str">
        <f>IFERROR(__xludf.DUMMYFUNCTION("GOOGLETRANSLATE(B439,""en"",""ar"")"),"لدي مشكلة")</f>
        <v>لدي مشكلة</v>
      </c>
      <c r="E439" s="4" t="str">
        <f>IFERROR(__xludf.DUMMYFUNCTION("GOOGLETRANSLATE(B439,""en"",""fr"")"),"J'ai un problème")</f>
        <v>J'ai un problème</v>
      </c>
      <c r="F439" s="4" t="str">
        <f>IFERROR(__xludf.DUMMYFUNCTION("GOOGLETRANSLATE(B439,""en"",""tr"")"),"Sorun Var")</f>
        <v>Sorun Var</v>
      </c>
      <c r="G439" s="4" t="str">
        <f>IFERROR(__xludf.DUMMYFUNCTION("GOOGLETRANSLATE(B439,""en"",""ru"")"),"Есть проблема")</f>
        <v>Есть проблема</v>
      </c>
      <c r="H439" s="4" t="str">
        <f>IFERROR(__xludf.DUMMYFUNCTION("GOOGLETRANSLATE(B439,""en"",""it"")"),"avere un problema")</f>
        <v>avere un problema</v>
      </c>
      <c r="I439" s="4" t="str">
        <f>IFERROR(__xludf.DUMMYFUNCTION("GOOGLETRANSLATE(B439,""en"",""de"")"),"Habe ein Problem")</f>
        <v>Habe ein Problem</v>
      </c>
      <c r="J439" s="4" t="str">
        <f>IFERROR(__xludf.DUMMYFUNCTION("GOOGLETRANSLATE(B439,""en"",""ko"")"),"문제가 있습니다")</f>
        <v>문제가 있습니다</v>
      </c>
      <c r="K439" s="4" t="str">
        <f>IFERROR(__xludf.DUMMYFUNCTION("GOOGLETRANSLATE(B439,""en"",""zh"")"),"有问题")</f>
        <v>有问题</v>
      </c>
      <c r="L439" s="4" t="str">
        <f>IFERROR(__xludf.DUMMYFUNCTION("GOOGLETRANSLATE(B439,""en"",""es"")"),"Tengo un problema")</f>
        <v>Tengo un problema</v>
      </c>
      <c r="M439" s="4" t="str">
        <f>IFERROR(__xludf.DUMMYFUNCTION("GOOGLETRANSLATE(B439,""en"",""iw"")"),"יש בעיה")</f>
        <v>יש בעיה</v>
      </c>
      <c r="N439" s="4" t="str">
        <f>IFERROR(__xludf.DUMMYFUNCTION("GOOGLETRANSLATE(B439,""en"",""bn"")"),"সমস্যা আছে")</f>
        <v>সমস্যা আছে</v>
      </c>
      <c r="O439" s="4" t="str">
        <f>IFERROR(__xludf.DUMMYFUNCTION("GOOGLETRANSLATE(B439,""en"",""pt"")"),"Tem problema")</f>
        <v>Tem problema</v>
      </c>
    </row>
    <row r="440">
      <c r="A440" s="51" t="s">
        <v>1098</v>
      </c>
      <c r="B440" s="52" t="s">
        <v>1099</v>
      </c>
      <c r="C440" s="4" t="str">
        <f>IFERROR(__xludf.DUMMYFUNCTION("GOOGLETRANSLATE(B440,""en"",""hi"")"),"सबसे विश्वसनीय ऐप")</f>
        <v>सबसे विश्वसनीय ऐप</v>
      </c>
      <c r="D440" s="4" t="str">
        <f>IFERROR(__xludf.DUMMYFUNCTION("GOOGLETRANSLATE(B440,""en"",""ar"")"),"التطبيق الأكثر ثقة")</f>
        <v>التطبيق الأكثر ثقة</v>
      </c>
      <c r="E440" s="4" t="str">
        <f>IFERROR(__xludf.DUMMYFUNCTION("GOOGLETRANSLATE(B440,""en"",""fr"")"),"L'application la plus fiable")</f>
        <v>L'application la plus fiable</v>
      </c>
      <c r="F440" s="4" t="str">
        <f>IFERROR(__xludf.DUMMYFUNCTION("GOOGLETRANSLATE(B440,""en"",""tr"")"),"En Güvenilir uygulama")</f>
        <v>En Güvenilir uygulama</v>
      </c>
      <c r="G440" s="4" t="str">
        <f>IFERROR(__xludf.DUMMYFUNCTION("GOOGLETRANSLATE(B440,""en"",""ru"")"),"Самое надежное приложение")</f>
        <v>Самое надежное приложение</v>
      </c>
      <c r="H440" s="4" t="str">
        <f>IFERROR(__xludf.DUMMYFUNCTION("GOOGLETRANSLATE(B440,""en"",""it"")"),"App più affidabile")</f>
        <v>App più affidabile</v>
      </c>
      <c r="I440" s="4" t="str">
        <f>IFERROR(__xludf.DUMMYFUNCTION("GOOGLETRANSLATE(B440,""en"",""de"")"),"Vertrauenswürdigste App")</f>
        <v>Vertrauenswürdigste App</v>
      </c>
      <c r="J440" s="4" t="str">
        <f>IFERROR(__xludf.DUMMYFUNCTION("GOOGLETRANSLATE(B440,""en"",""ko"")"),"가장 신뢰할 수 있는 앱")</f>
        <v>가장 신뢰할 수 있는 앱</v>
      </c>
      <c r="K440" s="4" t="str">
        <f>IFERROR(__xludf.DUMMYFUNCTION("GOOGLETRANSLATE(B440,""en"",""zh"")"),"最值得信赖的应用程序")</f>
        <v>最值得信赖的应用程序</v>
      </c>
      <c r="L440" s="4" t="str">
        <f>IFERROR(__xludf.DUMMYFUNCTION("GOOGLETRANSLATE(B440,""en"",""es"")"),"La aplicación más confiable")</f>
        <v>La aplicación más confiable</v>
      </c>
      <c r="M440" s="4" t="str">
        <f>IFERROR(__xludf.DUMMYFUNCTION("GOOGLETRANSLATE(B440,""en"",""iw"")"),"האפליקציה המהימנה ביותר")</f>
        <v>האפליקציה המהימנה ביותר</v>
      </c>
      <c r="N440" s="4" t="str">
        <f>IFERROR(__xludf.DUMMYFUNCTION("GOOGLETRANSLATE(B440,""en"",""bn"")"),"সবচেয়ে বিশ্বস্ত অ্যাপ")</f>
        <v>সবচেয়ে বিশ্বস্ত অ্যাপ</v>
      </c>
      <c r="O440" s="4" t="str">
        <f>IFERROR(__xludf.DUMMYFUNCTION("GOOGLETRANSLATE(B440,""en"",""pt"")"),"Aplicativo mais confiável")</f>
        <v>Aplicativo mais confiável</v>
      </c>
    </row>
    <row r="441">
      <c r="A441" s="51" t="s">
        <v>1100</v>
      </c>
      <c r="B441" s="50" t="s">
        <v>1101</v>
      </c>
      <c r="C441" s="4" t="str">
        <f>IFERROR(__xludf.DUMMYFUNCTION("GOOGLETRANSLATE(B441,""en"",""hi"")"),"अपनी सवारी के अनुभव का आनंद लेने के लिए कृपया निम्नलिखित अनुमति लें")</f>
        <v>अपनी सवारी के अनुभव का आनंद लेने के लिए कृपया निम्नलिखित अनुमति लें</v>
      </c>
      <c r="D441" s="4" t="str">
        <f>IFERROR(__xludf.DUMMYFUNCTION("GOOGLETRANSLATE(B441,""en"",""ar"")"),"للاستمتاع بتجربة رحلتك، يرجى استخدام الإذن التالي")</f>
        <v>للاستمتاع بتجربة رحلتك، يرجى استخدام الإذن التالي</v>
      </c>
      <c r="E441" s="4" t="str">
        <f>IFERROR(__xludf.DUMMYFUNCTION("GOOGLETRANSLATE(B441,""en"",""fr"")"),"Pour profiter de votre expérience de conduite, veuillez nous fournir l'autorisation suivante")</f>
        <v>Pour profiter de votre expérience de conduite, veuillez nous fournir l'autorisation suivante</v>
      </c>
      <c r="F441" s="4" t="str">
        <f>IFERROR(__xludf.DUMMYFUNCTION("GOOGLETRANSLATE(B441,""en"",""tr"")"),"Sürüş deneyiminizin keyfini çıkarmak için lütfen aşağıdaki izni bize verin")</f>
        <v>Sürüş deneyiminizin keyfini çıkarmak için lütfen aşağıdaki izni bize verin</v>
      </c>
      <c r="G441" s="4" t="str">
        <f>IFERROR(__xludf.DUMMYFUNCTION("GOOGLETRANSLATE(B441,""en"",""ru"")"),"Чтобы получить удовольствие от поездки, пожалуйста, дайте нам следующее разрешение")</f>
        <v>Чтобы получить удовольствие от поездки, пожалуйста, дайте нам следующее разрешение</v>
      </c>
      <c r="H441" s="4" t="str">
        <f>IFERROR(__xludf.DUMMYFUNCTION("GOOGLETRANSLATE(B441,""en"",""it"")"),"Per goderti la tua esperienza di guida, ti preghiamo di utilizzare la seguente autorizzazione")</f>
        <v>Per goderti la tua esperienza di guida, ti preghiamo di utilizzare la seguente autorizzazione</v>
      </c>
      <c r="I441" s="4" t="str">
        <f>IFERROR(__xludf.DUMMYFUNCTION("GOOGLETRANSLATE(B441,""en"",""de"")"),"Um Ihr Fahrerlebnis zu genießen, bitten wir Sie, uns die folgende Erlaubnis zu erteilen")</f>
        <v>Um Ihr Fahrerlebnis zu genießen, bitten wir Sie, uns die folgende Erlaubnis zu erteilen</v>
      </c>
      <c r="J441" s="4" t="str">
        <f>IFERROR(__xludf.DUMMYFUNCTION("GOOGLETRANSLATE(B441,""en"",""ko"")"),"즐거운 라이딩 경험을 위해 다음 허가를 요청해 주십시오.")</f>
        <v>즐거운 라이딩 경험을 위해 다음 허가를 요청해 주십시오.</v>
      </c>
      <c r="K441" s="4" t="str">
        <f>IFERROR(__xludf.DUMMYFUNCTION("GOOGLETRANSLATE(B441,""en"",""zh"")"),"为了享受您的骑行体验，请获取以下许可")</f>
        <v>为了享受您的骑行体验，请获取以下许可</v>
      </c>
      <c r="L441" s="4" t="str">
        <f>IFERROR(__xludf.DUMMYFUNCTION("GOOGLETRANSLATE(B441,""en"",""es"")"),"Para disfrutar de su experiencia de viaje, por favor, utilice el siguiente permiso")</f>
        <v>Para disfrutar de su experiencia de viaje, por favor, utilice el siguiente permiso</v>
      </c>
      <c r="M441" s="4" t="str">
        <f>IFERROR(__xludf.DUMMYFUNCTION("GOOGLETRANSLATE(B441,""en"",""iw"")"),"כדי ליהנות מחוויית הנסיעה שלך בבקשה, לנו את ההרשאה הבאה")</f>
        <v>כדי ליהנות מחוויית הנסיעה שלך בבקשה, לנו את ההרשאה הבאה</v>
      </c>
      <c r="N441" s="4" t="str">
        <f>IFERROR(__xludf.DUMMYFUNCTION("GOOGLETRANSLATE(B441,""en"",""bn"")"),"আপনার রাইড অভিজ্ঞতা উপভোগ করতে, আমাদের নিম্নলিখিত অনুমতি দয়া করে")</f>
        <v>আপনার রাইড অভিজ্ঞতা উপভোগ করতে, আমাদের নিম্নলিখিত অনুমতি দয়া করে</v>
      </c>
      <c r="O441" s="4" t="str">
        <f>IFERROR(__xludf.DUMMYFUNCTION("GOOGLETRANSLATE(B441,""en"",""pt"")"),"Para aproveitar sua experiência de viagem, por favor, use a seguinte permissão")</f>
        <v>Para aproveitar sua experiência de viagem, por favor, use a seguinte permissão</v>
      </c>
    </row>
    <row r="442">
      <c r="A442" s="51" t="s">
        <v>1102</v>
      </c>
      <c r="B442" s="50" t="s">
        <v>1103</v>
      </c>
      <c r="C442" s="4" t="str">
        <f>IFERROR(__xludf.DUMMYFUNCTION("GOOGLETRANSLATE(B442,""en"",""hi"")"),"सहेजे गए स्थान")</f>
        <v>सहेजे गए स्थान</v>
      </c>
      <c r="D442" s="4" t="str">
        <f>IFERROR(__xludf.DUMMYFUNCTION("GOOGLETRANSLATE(B442,""en"",""ar"")"),"الأماكن المحفوظة")</f>
        <v>الأماكن المحفوظة</v>
      </c>
      <c r="E442" s="4" t="str">
        <f>IFERROR(__xludf.DUMMYFUNCTION("GOOGLETRANSLATE(B442,""en"",""fr"")"),"Lieux enregistrés")</f>
        <v>Lieux enregistrés</v>
      </c>
      <c r="F442" s="4" t="str">
        <f>IFERROR(__xludf.DUMMYFUNCTION("GOOGLETRANSLATE(B442,""en"",""tr"")"),"Kaydedilen Yerler")</f>
        <v>Kaydedilen Yerler</v>
      </c>
      <c r="G442" s="4" t="str">
        <f>IFERROR(__xludf.DUMMYFUNCTION("GOOGLETRANSLATE(B442,""en"",""ru"")"),"Сохраненные места")</f>
        <v>Сохраненные места</v>
      </c>
      <c r="H442" s="4" t="str">
        <f>IFERROR(__xludf.DUMMYFUNCTION("GOOGLETRANSLATE(B442,""en"",""it"")"),"Luoghi salvati")</f>
        <v>Luoghi salvati</v>
      </c>
      <c r="I442" s="4" t="str">
        <f>IFERROR(__xludf.DUMMYFUNCTION("GOOGLETRANSLATE(B442,""en"",""de"")"),"Gespeicherte Orte")</f>
        <v>Gespeicherte Orte</v>
      </c>
      <c r="J442" s="4" t="str">
        <f>IFERROR(__xludf.DUMMYFUNCTION("GOOGLETRANSLATE(B442,""en"",""ko"")"),"저장된 장소")</f>
        <v>저장된 장소</v>
      </c>
      <c r="K442" s="4" t="str">
        <f>IFERROR(__xludf.DUMMYFUNCTION("GOOGLETRANSLATE(B442,""en"",""zh"")"),"已保存地点")</f>
        <v>已保存地点</v>
      </c>
      <c r="L442" s="4" t="str">
        <f>IFERROR(__xludf.DUMMYFUNCTION("GOOGLETRANSLATE(B442,""en"",""es"")"),"Lugares guardados")</f>
        <v>Lugares guardados</v>
      </c>
      <c r="M442" s="4" t="str">
        <f>IFERROR(__xludf.DUMMYFUNCTION("GOOGLETRANSLATE(B442,""en"",""iw"")"),"מקומות שמורים")</f>
        <v>מקומות שמורים</v>
      </c>
      <c r="N442" s="4" t="str">
        <f>IFERROR(__xludf.DUMMYFUNCTION("GOOGLETRANSLATE(B442,""en"",""bn"")"),"সংরক্ষিত স্থান")</f>
        <v>সংরক্ষিত স্থান</v>
      </c>
      <c r="O442" s="4" t="str">
        <f>IFERROR(__xludf.DUMMYFUNCTION("GOOGLETRANSLATE(B442,""en"",""pt"")"),"Lugares salvos")</f>
        <v>Lugares salvos</v>
      </c>
    </row>
    <row r="443">
      <c r="A443" s="51" t="s">
        <v>1104</v>
      </c>
      <c r="B443" s="50" t="s">
        <v>1105</v>
      </c>
      <c r="C443" s="4" t="str">
        <f>IFERROR(__xludf.DUMMYFUNCTION("GOOGLETRANSLATE(B443,""en"",""hi"")"),"ड्राइवर की तलाश")</f>
        <v>ड्राइवर की तलाश</v>
      </c>
      <c r="D443" s="4" t="str">
        <f>IFERROR(__xludf.DUMMYFUNCTION("GOOGLETRANSLATE(B443,""en"",""ar"")"),"البحث عن سائق")</f>
        <v>البحث عن سائق</v>
      </c>
      <c r="E443" s="4" t="str">
        <f>IFERROR(__xludf.DUMMYFUNCTION("GOOGLETRANSLATE(B443,""en"",""fr"")"),"Recherche de chauffeur")</f>
        <v>Recherche de chauffeur</v>
      </c>
      <c r="F443" s="4" t="str">
        <f>IFERROR(__xludf.DUMMYFUNCTION("GOOGLETRANSLATE(B443,""en"",""tr"")"),"Sürücü Aranıyor")</f>
        <v>Sürücü Aranıyor</v>
      </c>
      <c r="G443" s="4" t="str">
        <f>IFERROR(__xludf.DUMMYFUNCTION("GOOGLETRANSLATE(B443,""en"",""ru"")"),"Поиск водителя")</f>
        <v>Поиск водителя</v>
      </c>
      <c r="H443" s="4" t="str">
        <f>IFERROR(__xludf.DUMMYFUNCTION("GOOGLETRANSLATE(B443,""en"",""it"")"),"Ricerca autista")</f>
        <v>Ricerca autista</v>
      </c>
      <c r="I443" s="4" t="str">
        <f>IFERROR(__xludf.DUMMYFUNCTION("GOOGLETRANSLATE(B443,""en"",""de"")"),"Suche nach Treiber")</f>
        <v>Suche nach Treiber</v>
      </c>
      <c r="J443" s="4" t="str">
        <f>IFERROR(__xludf.DUMMYFUNCTION("GOOGLETRANSLATE(B443,""en"",""ko"")"),"운전자 검색")</f>
        <v>운전자 검색</v>
      </c>
      <c r="K443" s="4" t="str">
        <f>IFERROR(__xludf.DUMMYFUNCTION("GOOGLETRANSLATE(B443,""en"",""zh"")"),"正在搜寻司机")</f>
        <v>正在搜寻司机</v>
      </c>
      <c r="L443" s="4" t="str">
        <f>IFERROR(__xludf.DUMMYFUNCTION("GOOGLETRANSLATE(B443,""en"",""es"")"),"Buscando un conductor")</f>
        <v>Buscando un conductor</v>
      </c>
      <c r="M443" s="4" t="str">
        <f>IFERROR(__xludf.DUMMYFUNCTION("GOOGLETRANSLATE(B443,""en"",""iw"")"),"מחפש נהג")</f>
        <v>מחפש נהג</v>
      </c>
      <c r="N443" s="4" t="str">
        <f>IFERROR(__xludf.DUMMYFUNCTION("GOOGLETRANSLATE(B443,""en"",""bn"")"),"ড্রাইভার জন্য অনুসন্ধান")</f>
        <v>ড্রাইভার জন্য অনুসন্ধান</v>
      </c>
      <c r="O443" s="4" t="str">
        <f>IFERROR(__xludf.DUMMYFUNCTION("GOOGLETRANSLATE(B443,""en"",""pt"")"),"Procurando por motorista")</f>
        <v>Procurando por motorista</v>
      </c>
    </row>
    <row r="444">
      <c r="A444" s="51" t="s">
        <v>1106</v>
      </c>
      <c r="B444" s="50" t="s">
        <v>1107</v>
      </c>
      <c r="C444" s="4" t="str">
        <f>IFERROR(__xludf.DUMMYFUNCTION("GOOGLETRANSLATE(B444,""en"",""hi"")"),"रास्ते में")</f>
        <v>रास्ते में</v>
      </c>
      <c r="D444" s="4" t="str">
        <f>IFERROR(__xludf.DUMMYFUNCTION("GOOGLETRANSLATE(B444,""en"",""ar"")"),"في الطريق")</f>
        <v>في الطريق</v>
      </c>
      <c r="E444" s="4" t="str">
        <f>IFERROR(__xludf.DUMMYFUNCTION("GOOGLETRANSLATE(B444,""en"",""fr"")"),"En route")</f>
        <v>En route</v>
      </c>
      <c r="F444" s="4" t="str">
        <f>IFERROR(__xludf.DUMMYFUNCTION("GOOGLETRANSLATE(B444,""en"",""tr"")"),"Yolda")</f>
        <v>Yolda</v>
      </c>
      <c r="G444" s="4" t="str">
        <f>IFERROR(__xludf.DUMMYFUNCTION("GOOGLETRANSLATE(B444,""en"",""ru"")"),"В пути")</f>
        <v>В пути</v>
      </c>
      <c r="H444" s="4" t="str">
        <f>IFERROR(__xludf.DUMMYFUNCTION("GOOGLETRANSLATE(B444,""en"",""it"")"),"Sulla strada")</f>
        <v>Sulla strada</v>
      </c>
      <c r="I444" s="4" t="str">
        <f>IFERROR(__xludf.DUMMYFUNCTION("GOOGLETRANSLATE(B444,""en"",""de"")"),"Unterwegs")</f>
        <v>Unterwegs</v>
      </c>
      <c r="J444" s="4" t="str">
        <f>IFERROR(__xludf.DUMMYFUNCTION("GOOGLETRANSLATE(B444,""en"",""ko"")"),"길에서")</f>
        <v>길에서</v>
      </c>
      <c r="K444" s="4" t="str">
        <f>IFERROR(__xludf.DUMMYFUNCTION("GOOGLETRANSLATE(B444,""en"",""zh"")"),"在路上")</f>
        <v>在路上</v>
      </c>
      <c r="L444" s="4" t="str">
        <f>IFERROR(__xludf.DUMMYFUNCTION("GOOGLETRANSLATE(B444,""en"",""es"")"),"En camino")</f>
        <v>En camino</v>
      </c>
      <c r="M444" s="4" t="str">
        <f>IFERROR(__xludf.DUMMYFUNCTION("GOOGLETRANSLATE(B444,""en"",""iw"")"),"בדרך")</f>
        <v>בדרך</v>
      </c>
      <c r="N444" s="4" t="str">
        <f>IFERROR(__xludf.DUMMYFUNCTION("GOOGLETRANSLATE(B444,""en"",""bn"")"),"অন দ্য ওয়ে")</f>
        <v>অন দ্য ওয়ে</v>
      </c>
      <c r="O444" s="4" t="str">
        <f>IFERROR(__xludf.DUMMYFUNCTION("GOOGLETRANSLATE(B444,""en"",""pt"")"),"A caminho")</f>
        <v>A caminho</v>
      </c>
    </row>
    <row r="445">
      <c r="A445" s="51" t="s">
        <v>1108</v>
      </c>
      <c r="B445" s="50" t="s">
        <v>1109</v>
      </c>
      <c r="C445" s="4" t="str">
        <f>IFERROR(__xludf.DUMMYFUNCTION("GOOGLETRANSLATE(B445,""en"",""hi"")"),"सवारी पर")</f>
        <v>सवारी पर</v>
      </c>
      <c r="D445" s="4" t="str">
        <f>IFERROR(__xludf.DUMMYFUNCTION("GOOGLETRANSLATE(B445,""en"",""ar"")"),"في رحلة")</f>
        <v>في رحلة</v>
      </c>
      <c r="E445" s="4" t="str">
        <f>IFERROR(__xludf.DUMMYFUNCTION("GOOGLETRANSLATE(B445,""en"",""fr"")"),"En balade")</f>
        <v>En balade</v>
      </c>
      <c r="F445" s="4" t="str">
        <f>IFERROR(__xludf.DUMMYFUNCTION("GOOGLETRANSLATE(B445,""en"",""tr"")"),"Yolculukta")</f>
        <v>Yolculukta</v>
      </c>
      <c r="G445" s="4" t="str">
        <f>IFERROR(__xludf.DUMMYFUNCTION("GOOGLETRANSLATE(B445,""en"",""ru"")"),"В пути")</f>
        <v>В пути</v>
      </c>
      <c r="H445" s="4" t="str">
        <f>IFERROR(__xludf.DUMMYFUNCTION("GOOGLETRANSLATE(B445,""en"",""it"")"),"In viaggio")</f>
        <v>In viaggio</v>
      </c>
      <c r="I445" s="4" t="str">
        <f>IFERROR(__xludf.DUMMYFUNCTION("GOOGLETRANSLATE(B445,""en"",""de"")"),"Unterwegs")</f>
        <v>Unterwegs</v>
      </c>
      <c r="J445" s="4" t="str">
        <f>IFERROR(__xludf.DUMMYFUNCTION("GOOGLETRANSLATE(B445,""en"",""ko"")"),"라이드 중")</f>
        <v>라이드 중</v>
      </c>
      <c r="K445" s="4" t="str">
        <f>IFERROR(__xludf.DUMMYFUNCTION("GOOGLETRANSLATE(B445,""en"",""zh"")"),"骑行中")</f>
        <v>骑行中</v>
      </c>
      <c r="L445" s="4" t="str">
        <f>IFERROR(__xludf.DUMMYFUNCTION("GOOGLETRANSLATE(B445,""en"",""es"")"),"En viaje")</f>
        <v>En viaje</v>
      </c>
      <c r="M445" s="4" t="str">
        <f>IFERROR(__xludf.DUMMYFUNCTION("GOOGLETRANSLATE(B445,""en"",""iw"")"),"בנסיעה")</f>
        <v>בנסיעה</v>
      </c>
      <c r="N445" s="4" t="str">
        <f>IFERROR(__xludf.DUMMYFUNCTION("GOOGLETRANSLATE(B445,""en"",""bn"")"),"অন রাইড")</f>
        <v>অন রাইড</v>
      </c>
      <c r="O445" s="4" t="str">
        <f>IFERROR(__xludf.DUMMYFUNCTION("GOOGLETRANSLATE(B445,""en"",""pt"")"),"Em viagem")</f>
        <v>Em viagem</v>
      </c>
    </row>
    <row r="446">
      <c r="A446" s="51" t="s">
        <v>1110</v>
      </c>
      <c r="B446" s="50" t="s">
        <v>1111</v>
      </c>
      <c r="C446" s="4" t="str">
        <f>IFERROR(__xludf.DUMMYFUNCTION("GOOGLETRANSLATE(B446,""en"",""hi"")"),"ग्राहक की प्रतीक्षा में")</f>
        <v>ग्राहक की प्रतीक्षा में</v>
      </c>
      <c r="D446" s="4" t="str">
        <f>IFERROR(__xludf.DUMMYFUNCTION("GOOGLETRANSLATE(B446,""en"",""ar"")"),"في انتظار العميل")</f>
        <v>في انتظار العميل</v>
      </c>
      <c r="E446" s="4" t="str">
        <f>IFERROR(__xludf.DUMMYFUNCTION("GOOGLETRANSLATE(B446,""en"",""fr"")"),"En attente du client")</f>
        <v>En attente du client</v>
      </c>
      <c r="F446" s="4" t="str">
        <f>IFERROR(__xludf.DUMMYFUNCTION("GOOGLETRANSLATE(B446,""en"",""tr"")"),"Müşteri Bekleniyor")</f>
        <v>Müşteri Bekleniyor</v>
      </c>
      <c r="G446" s="4" t="str">
        <f>IFERROR(__xludf.DUMMYFUNCTION("GOOGLETRANSLATE(B446,""en"",""ru"")"),"Ожидание клиента")</f>
        <v>Ожидание клиента</v>
      </c>
      <c r="H446" s="4" t="str">
        <f>IFERROR(__xludf.DUMMYFUNCTION("GOOGLETRANSLATE(B446,""en"",""it"")"),"In attesa del cliente")</f>
        <v>In attesa del cliente</v>
      </c>
      <c r="I446" s="4" t="str">
        <f>IFERROR(__xludf.DUMMYFUNCTION("GOOGLETRANSLATE(B446,""en"",""de"")"),"Warten auf Kunden")</f>
        <v>Warten auf Kunden</v>
      </c>
      <c r="J446" s="4" t="str">
        <f>IFERROR(__xludf.DUMMYFUNCTION("GOOGLETRANSLATE(B446,""en"",""ko"")"),"고객을 기다리는 중")</f>
        <v>고객을 기다리는 중</v>
      </c>
      <c r="K446" s="4" t="str">
        <f>IFERROR(__xludf.DUMMYFUNCTION("GOOGLETRANSLATE(B446,""en"",""zh"")"),"等待顾客")</f>
        <v>等待顾客</v>
      </c>
      <c r="L446" s="4" t="str">
        <f>IFERROR(__xludf.DUMMYFUNCTION("GOOGLETRANSLATE(B446,""en"",""es"")"),"Esperando al cliente")</f>
        <v>Esperando al cliente</v>
      </c>
      <c r="M446" s="4" t="str">
        <f>IFERROR(__xludf.DUMMYFUNCTION("GOOGLETRANSLATE(B446,""en"",""iw"")"),"מחכה ללקוח")</f>
        <v>מחכה ללקוח</v>
      </c>
      <c r="N446" s="4" t="str">
        <f>IFERROR(__xludf.DUMMYFUNCTION("GOOGLETRANSLATE(B446,""en"",""bn"")"),"গ্রাহকের জন্য অপেক্ষা করছে")</f>
        <v>গ্রাহকের জন্য অপেক্ষা করছে</v>
      </c>
      <c r="O446" s="4" t="str">
        <f>IFERROR(__xludf.DUMMYFUNCTION("GOOGLETRANSLATE(B446,""en"",""pt"")"),"Aguardando o cliente")</f>
        <v>Aguardando o cliente</v>
      </c>
    </row>
    <row r="447">
      <c r="A447" s="53" t="s">
        <v>1112</v>
      </c>
      <c r="B447" s="40" t="s">
        <v>1113</v>
      </c>
      <c r="C447" s="4" t="str">
        <f>IFERROR(__xludf.DUMMYFUNCTION("GOOGLETRANSLATE(B447,""en"",""hi"")"),"समर्थन से संपर्क करें")</f>
        <v>समर्थन से संपर्क करें</v>
      </c>
      <c r="D447" s="4" t="str">
        <f>IFERROR(__xludf.DUMMYFUNCTION("GOOGLETRANSLATE(B447,""en"",""ar"")"),"اتصل بالدعم")</f>
        <v>اتصل بالدعم</v>
      </c>
      <c r="E447" s="4" t="str">
        <f>IFERROR(__xludf.DUMMYFUNCTION("GOOGLETRANSLATE(B447,""en"",""fr"")"),"Contacter le support")</f>
        <v>Contacter le support</v>
      </c>
      <c r="F447" s="4" t="str">
        <f>IFERROR(__xludf.DUMMYFUNCTION("GOOGLETRANSLATE(B447,""en"",""tr"")"),"Destek Ekibiyle İletişime Geçin")</f>
        <v>Destek Ekibiyle İletişime Geçin</v>
      </c>
      <c r="G447" s="4" t="str">
        <f>IFERROR(__xludf.DUMMYFUNCTION("GOOGLETRANSLATE(B447,""en"",""ru"")"),"Связаться со службой поддержки")</f>
        <v>Связаться со службой поддержки</v>
      </c>
      <c r="H447" s="4" t="str">
        <f>IFERROR(__xludf.DUMMYFUNCTION("GOOGLETRANSLATE(B447,""en"",""it"")"),"Contatta l'assistenza")</f>
        <v>Contatta l'assistenza</v>
      </c>
      <c r="I447" s="4" t="str">
        <f>IFERROR(__xludf.DUMMYFUNCTION("GOOGLETRANSLATE(B447,""en"",""de"")"),"Support kontaktieren")</f>
        <v>Support kontaktieren</v>
      </c>
      <c r="J447" s="4" t="str">
        <f>IFERROR(__xludf.DUMMYFUNCTION("GOOGLETRANSLATE(B447,""en"",""ko"")"),"지원팀에 문의하세요")</f>
        <v>지원팀에 문의하세요</v>
      </c>
      <c r="K447" s="4" t="str">
        <f>IFERROR(__xludf.DUMMYFUNCTION("GOOGLETRANSLATE(B447,""en"",""zh"")"),"联系支持")</f>
        <v>联系支持</v>
      </c>
      <c r="L447" s="4" t="str">
        <f>IFERROR(__xludf.DUMMYFUNCTION("GOOGLETRANSLATE(B447,""en"",""es"")"),"Contactar con soporte técnico")</f>
        <v>Contactar con soporte técnico</v>
      </c>
      <c r="M447" s="4" t="str">
        <f>IFERROR(__xludf.DUMMYFUNCTION("GOOGLETRANSLATE(B447,""en"",""iw"")"),"צור קשר עם התמיכה")</f>
        <v>צור קשר עם התמיכה</v>
      </c>
      <c r="N447" s="4" t="str">
        <f>IFERROR(__xludf.DUMMYFUNCTION("GOOGLETRANSLATE(B447,""en"",""bn"")"),"সহায়তার সাথে যোগাযোগ করুন")</f>
        <v>সহায়তার সাথে যোগাযোগ করুন</v>
      </c>
      <c r="O447" s="4" t="str">
        <f>IFERROR(__xludf.DUMMYFUNCTION("GOOGLETRANSLATE(B447,""en"",""pt"")"),"Entre em contato com o suporte")</f>
        <v>Entre em contato com o suporte</v>
      </c>
    </row>
    <row r="448">
      <c r="A448" s="53" t="s">
        <v>1114</v>
      </c>
      <c r="B448" s="40" t="s">
        <v>1115</v>
      </c>
      <c r="C448" s="4" t="str">
        <f>IFERROR(__xludf.DUMMYFUNCTION("GOOGLETRANSLATE(B448,""en"",""hi"")"),"नीचे ""मैं सहमत हूँ"" का चयन करके, मैंने समीक्षा की है और इससे सहमत हूँ")</f>
        <v>नीचे "मैं सहमत हूँ" का चयन करके, मैंने समीक्षा की है और इससे सहमत हूँ</v>
      </c>
      <c r="D448" s="4" t="str">
        <f>IFERROR(__xludf.DUMMYFUNCTION("GOOGLETRANSLATE(B448,""en"",""ar"")"),"من خلال اختيار ""أوافق"" أدناه، أكون قد راجعت وأوافق على")</f>
        <v>من خلال اختيار "أوافق" أدناه، أكون قد راجعت وأوافق على</v>
      </c>
      <c r="E448" s="4" t="str">
        <f>IFERROR(__xludf.DUMMYFUNCTION("GOOGLETRANSLATE(B448,""en"",""fr"")"),"En sélectionnant « J'accepte » ci-dessous, j'ai lu et j'accepte les")</f>
        <v>En sélectionnant « J'accepte » ci-dessous, j'ai lu et j'accepte les</v>
      </c>
      <c r="F448" s="4" t="str">
        <f>IFERROR(__xludf.DUMMYFUNCTION("GOOGLETRANSLATE(B448,""en"",""tr"")"),"Aşağıdaki ""Kabul Ediyorum"" seçeneğini seçerek, şunları inceledim ve kabul ediyorum:")</f>
        <v>Aşağıdaki "Kabul Ediyorum" seçeneğini seçerek, şunları inceledim ve kabul ediyorum:</v>
      </c>
      <c r="G448" s="4" t="str">
        <f>IFERROR(__xludf.DUMMYFUNCTION("GOOGLETRANSLATE(B448,""en"",""ru"")"),"Выбрав «Я согласен» ниже, я ознакомился(лась) и согласен(сна) с")</f>
        <v>Выбрав «Я согласен» ниже, я ознакомился(лась) и согласен(сна) с</v>
      </c>
      <c r="H448" s="4" t="str">
        <f>IFERROR(__xludf.DUMMYFUNCTION("GOOGLETRANSLATE(B448,""en"",""it"")"),"Selezionando ""Accetto"" qui sotto, ho letto e accetto quanto segue.")</f>
        <v>Selezionando "Accetto" qui sotto, ho letto e accetto quanto segue.</v>
      </c>
      <c r="I448" s="4" t="str">
        <f>IFERROR(__xludf.DUMMYFUNCTION("GOOGLETRANSLATE(B448,""en"",""de"")"),"Durch Auswahl von ""Ich stimme zu"" unten habe ich die")</f>
        <v>Durch Auswahl von "Ich stimme zu" unten habe ich die</v>
      </c>
      <c r="J448" s="4" t="str">
        <f>IFERROR(__xludf.DUMMYFUNCTION("GOOGLETRANSLATE(B448,""en"",""ko"")"),"아래의 ""동의합니다""를 선택하면 검토하고 동의합니다.")</f>
        <v>아래의 "동의합니다"를 선택하면 검토하고 동의합니다.</v>
      </c>
      <c r="K448" s="4" t="str">
        <f>IFERROR(__xludf.DUMMYFUNCTION("GOOGLETRANSLATE(B448,""en"",""zh"")"),"通过选择下面的“我同意”，我已阅读并同意")</f>
        <v>通过选择下面的“我同意”，我已阅读并同意</v>
      </c>
      <c r="L448" s="4" t="str">
        <f>IFERROR(__xludf.DUMMYFUNCTION("GOOGLETRANSLATE(B448,""en"",""es"")"),"Al seleccionar ""Acepto"" a continuación, he revisado y acepto los términos y condiciones.")</f>
        <v>Al seleccionar "Acepto" a continuación, he revisado y acepto los términos y condiciones.</v>
      </c>
      <c r="M448" s="4" t="str">
        <f>IFERROR(__xludf.DUMMYFUNCTION("GOOGLETRANSLATE(B448,""en"",""iw"")"),"על ידי בחירה ב""אני מסכים"" להלן, סקרתי ומסכים ל")</f>
        <v>על ידי בחירה ב"אני מסכים" להלן, סקרתי ומסכים ל</v>
      </c>
      <c r="N448" s="4" t="str">
        <f>IFERROR(__xludf.DUMMYFUNCTION("GOOGLETRANSLATE(B448,""en"",""bn"")"),"নীচে ""আমি সম্মত"" নির্বাচন করে, আমি পর্যালোচনা করেছি এবং সম্মতি জানাচ্ছি৷")</f>
        <v>নীচে "আমি সম্মত" নির্বাচন করে, আমি পর্যালোচনা করেছি এবং সম্মতি জানাচ্ছি৷</v>
      </c>
      <c r="O448" s="4" t="str">
        <f>IFERROR(__xludf.DUMMYFUNCTION("GOOGLETRANSLATE(B448,""en"",""pt"")"),"Ao selecionar ""Concordo"" abaixo, analisei e concordo com os")</f>
        <v>Ao selecionar "Concordo" abaixo, analisei e concordo com os</v>
      </c>
    </row>
    <row r="449">
      <c r="A449" s="53" t="s">
        <v>1116</v>
      </c>
      <c r="B449" s="3" t="s">
        <v>1117</v>
      </c>
      <c r="C449" s="4" t="str">
        <f>IFERROR(__xludf.DUMMYFUNCTION("GOOGLETRANSLATE(B449,""en"",""hi"")"),"उपयोग की शर्तें")</f>
        <v>उपयोग की शर्तें</v>
      </c>
      <c r="D449" s="4" t="str">
        <f>IFERROR(__xludf.DUMMYFUNCTION("GOOGLETRANSLATE(B449,""en"",""ar"")")," شروط الاستخدام ")</f>
        <v> شروط الاستخدام </v>
      </c>
      <c r="E449" s="4" t="str">
        <f>IFERROR(__xludf.DUMMYFUNCTION("GOOGLETRANSLATE(B449,""en"",""fr"")"),"Conditions d'utilisation")</f>
        <v>Conditions d'utilisation</v>
      </c>
      <c r="F449" s="4" t="str">
        <f>IFERROR(__xludf.DUMMYFUNCTION("GOOGLETRANSLATE(B449,""en"",""tr"")"),"Kullanım Şartları")</f>
        <v>Kullanım Şartları</v>
      </c>
      <c r="G449" s="4" t="str">
        <f>IFERROR(__xludf.DUMMYFUNCTION("GOOGLETRANSLATE(B449,""en"",""ru"")")," Условия эксплуатации ")</f>
        <v> Условия эксплуатации </v>
      </c>
      <c r="H449" s="4" t="str">
        <f>IFERROR(__xludf.DUMMYFUNCTION("GOOGLETRANSLATE(B449,""en"",""it"")")," Termini di utilizzo ")</f>
        <v> Termini di utilizzo </v>
      </c>
      <c r="I449" s="4" t="str">
        <f>IFERROR(__xludf.DUMMYFUNCTION("GOOGLETRANSLATE(B449,""en"",""de"")"),"Nutzungsbedingungen")</f>
        <v>Nutzungsbedingungen</v>
      </c>
      <c r="J449" s="4" t="str">
        <f>IFERROR(__xludf.DUMMYFUNCTION("GOOGLETRANSLATE(B449,""en"",""ko"")"),"이용 약관")</f>
        <v>이용 약관</v>
      </c>
      <c r="K449" s="4" t="str">
        <f>IFERROR(__xludf.DUMMYFUNCTION("GOOGLETRANSLATE(B449,""en"",""zh"")"),"使用条款")</f>
        <v>使用条款</v>
      </c>
      <c r="L449" s="4" t="str">
        <f>IFERROR(__xludf.DUMMYFUNCTION("GOOGLETRANSLATE(B449,""en"",""es"")")," Condiciones de uso ")</f>
        <v> Condiciones de uso </v>
      </c>
      <c r="M449" s="4" t="str">
        <f>IFERROR(__xludf.DUMMYFUNCTION("GOOGLETRANSLATE(B449,""en"",""iw"")")," תנאי שימוש ")</f>
        <v> תנאי שימוש </v>
      </c>
      <c r="N449" s="4" t="str">
        <f>IFERROR(__xludf.DUMMYFUNCTION("GOOGLETRANSLATE(B449,""en"",""bn"")")," ব্যবহারের শর্তাবলী ")</f>
        <v> ব্যবহারের শর্তাবলী </v>
      </c>
      <c r="O449" s="4" t="str">
        <f>IFERROR(__xludf.DUMMYFUNCTION("GOOGLETRANSLATE(B449,""en"",""pt"")"),"Termos de Uso")</f>
        <v>Termos de Uso</v>
      </c>
    </row>
    <row r="450">
      <c r="A450" s="53" t="s">
        <v>1118</v>
      </c>
      <c r="B450" s="40" t="s">
        <v>1119</v>
      </c>
      <c r="C450" s="4" t="str">
        <f>IFERROR(__xludf.DUMMYFUNCTION("GOOGLETRANSLATE(B450,""en"",""hi"")"),"और स्वीकार किया")</f>
        <v>और स्वीकार किया</v>
      </c>
      <c r="D450" s="4" t="str">
        <f>IFERROR(__xludf.DUMMYFUNCTION("GOOGLETRANSLATE(B450,""en"",""ar"")"),"وأقرت")</f>
        <v>وأقرت</v>
      </c>
      <c r="E450" s="4" t="str">
        <f>IFERROR(__xludf.DUMMYFUNCTION("GOOGLETRANSLATE(B450,""en"",""fr"")"),"et a reconnu le")</f>
        <v>et a reconnu le</v>
      </c>
      <c r="F450" s="4" t="str">
        <f>IFERROR(__xludf.DUMMYFUNCTION("GOOGLETRANSLATE(B450,""en"",""tr"")"),"ve kabul etti")</f>
        <v>ve kabul etti</v>
      </c>
      <c r="G450" s="4" t="str">
        <f>IFERROR(__xludf.DUMMYFUNCTION("GOOGLETRANSLATE(B450,""en"",""ru"")"),"и признал")</f>
        <v>и признал</v>
      </c>
      <c r="H450" s="4" t="str">
        <f>IFERROR(__xludf.DUMMYFUNCTION("GOOGLETRANSLATE(B450,""en"",""it"")"),"e ha riconosciuto il")</f>
        <v>e ha riconosciuto il</v>
      </c>
      <c r="I450" s="4" t="str">
        <f>IFERROR(__xludf.DUMMYFUNCTION("GOOGLETRANSLATE(B450,""en"",""de"")"),"und erkannte die")</f>
        <v>und erkannte die</v>
      </c>
      <c r="J450" s="4" t="str">
        <f>IFERROR(__xludf.DUMMYFUNCTION("GOOGLETRANSLATE(B450,""en"",""ko"")"),"그리고 인정했다")</f>
        <v>그리고 인정했다</v>
      </c>
      <c r="K450" s="4" t="str">
        <f>IFERROR(__xludf.DUMMYFUNCTION("GOOGLETRANSLATE(B450,""en"",""zh"")"),"并承认")</f>
        <v>并承认</v>
      </c>
      <c r="L450" s="4" t="str">
        <f>IFERROR(__xludf.DUMMYFUNCTION("GOOGLETRANSLATE(B450,""en"",""es"")"),"y reconoció la")</f>
        <v>y reconoció la</v>
      </c>
      <c r="M450" s="4" t="str">
        <f>IFERROR(__xludf.DUMMYFUNCTION("GOOGLETRANSLATE(B450,""en"",""iw"")")," והכיר ב ")</f>
        <v> והכיר ב </v>
      </c>
      <c r="N450" s="4" t="str">
        <f>IFERROR(__xludf.DUMMYFUNCTION("GOOGLETRANSLATE(B450,""en"",""bn"")")," এবং স্বীকার ")</f>
        <v> এবং স্বীকার </v>
      </c>
      <c r="O450" s="4" t="str">
        <f>IFERROR(__xludf.DUMMYFUNCTION("GOOGLETRANSLATE(B450,""en"",""pt"")"),"e reconheceu o")</f>
        <v>e reconheceu o</v>
      </c>
    </row>
    <row r="451">
      <c r="A451" s="53" t="s">
        <v>1120</v>
      </c>
      <c r="B451" s="40" t="s">
        <v>1121</v>
      </c>
      <c r="C451" s="4" t="str">
        <f>IFERROR(__xludf.DUMMYFUNCTION("GOOGLETRANSLATE(B451,""en"",""hi"")"),"आज आप क्या करना चाहेंगे?")</f>
        <v>आज आप क्या करना चाहेंगे?</v>
      </c>
      <c r="D451" s="4" t="str">
        <f>IFERROR(__xludf.DUMMYFUNCTION("GOOGLETRANSLATE(B451,""en"",""ar"")"),"ماذا تريد أن تفعل اليوم؟")</f>
        <v>ماذا تريد أن تفعل اليوم؟</v>
      </c>
      <c r="E451" s="4" t="str">
        <f>IFERROR(__xludf.DUMMYFUNCTION("GOOGLETRANSLATE(B451,""en"",""fr"")"),"Que feriez-vous aujourd'hui ?")</f>
        <v>Que feriez-vous aujourd'hui ?</v>
      </c>
      <c r="F451" s="4" t="str">
        <f>IFERROR(__xludf.DUMMYFUNCTION("GOOGLETRANSLATE(B451,""en"",""tr"")"),"Bugün ne yapmak isterdin?")</f>
        <v>Bugün ne yapmak isterdin?</v>
      </c>
      <c r="G451" s="4" t="str">
        <f>IFERROR(__xludf.DUMMYFUNCTION("GOOGLETRANSLATE(B451,""en"",""ru"")"),"Что бы вы сделали сегодня?")</f>
        <v>Что бы вы сделали сегодня?</v>
      </c>
      <c r="H451" s="4" t="str">
        <f>IFERROR(__xludf.DUMMYFUNCTION("GOOGLETRANSLATE(B451,""en"",""it"")"),"Cosa faresti oggi?")</f>
        <v>Cosa faresti oggi?</v>
      </c>
      <c r="I451" s="4" t="str">
        <f>IFERROR(__xludf.DUMMYFUNCTION("GOOGLETRANSLATE(B451,""en"",""de"")"),"Was würden Sie heute tun?")</f>
        <v>Was würden Sie heute tun?</v>
      </c>
      <c r="J451" s="4" t="str">
        <f>IFERROR(__xludf.DUMMYFUNCTION("GOOGLETRANSLATE(B451,""en"",""ko"")"),"오늘은 무엇을 하시겠습니까?")</f>
        <v>오늘은 무엇을 하시겠습니까?</v>
      </c>
      <c r="K451" s="4" t="str">
        <f>IFERROR(__xludf.DUMMYFUNCTION("GOOGLETRANSLATE(B451,""en"",""zh"")"),"今天你想做什么？")</f>
        <v>今天你想做什么？</v>
      </c>
      <c r="L451" s="4" t="str">
        <f>IFERROR(__xludf.DUMMYFUNCTION("GOOGLETRANSLATE(B451,""en"",""es"")"),"¿Qué te gustaría hacer hoy?")</f>
        <v>¿Qué te gustaría hacer hoy?</v>
      </c>
      <c r="M451" s="4" t="str">
        <f>IFERROR(__xludf.DUMMYFUNCTION("GOOGLETRANSLATE(B451,""en"",""iw"")"),"מה הייתם עושים היום?")</f>
        <v>מה הייתם עושים היום?</v>
      </c>
      <c r="N451" s="4" t="str">
        <f>IFERROR(__xludf.DUMMYFUNCTION("GOOGLETRANSLATE(B451,""en"",""bn"")"),"আপনি আজ কি করতে হবে?")</f>
        <v>আপনি আজ কি করতে হবে?</v>
      </c>
      <c r="O451" s="4" t="str">
        <f>IFERROR(__xludf.DUMMYFUNCTION("GOOGLETRANSLATE(B451,""en"",""pt"")"),"O que você faria hoje?")</f>
        <v>O que você faria hoje?</v>
      </c>
    </row>
    <row r="452">
      <c r="A452" s="53" t="s">
        <v>1122</v>
      </c>
      <c r="B452" s="40" t="s">
        <v>1123</v>
      </c>
      <c r="C452" s="4" t="str">
        <f>IFERROR(__xludf.DUMMYFUNCTION("GOOGLETRANSLATE(B452,""en"",""hi"")"),"अभी सवारी करें")</f>
        <v>अभी सवारी करें</v>
      </c>
      <c r="D452" s="4" t="str">
        <f>IFERROR(__xludf.DUMMYFUNCTION("GOOGLETRANSLATE(B452,""en"",""ar"")"),"خذ رحلة الآن")</f>
        <v>خذ رحلة الآن</v>
      </c>
      <c r="E452" s="4" t="str">
        <f>IFERROR(__xludf.DUMMYFUNCTION("GOOGLETRANSLATE(B452,""en"",""fr"")"),"Faites un tour maintenant")</f>
        <v>Faites un tour maintenant</v>
      </c>
      <c r="F452" s="4" t="str">
        <f>IFERROR(__xludf.DUMMYFUNCTION("GOOGLETRANSLATE(B452,""en"",""tr"")"),"Şimdi Bir Yolculuk Yapın")</f>
        <v>Şimdi Bir Yolculuk Yapın</v>
      </c>
      <c r="G452" s="4" t="str">
        <f>IFERROR(__xludf.DUMMYFUNCTION("GOOGLETRANSLATE(B452,""en"",""ru"")"),"Поезжайте прямо сейчас")</f>
        <v>Поезжайте прямо сейчас</v>
      </c>
      <c r="H452" s="4" t="str">
        <f>IFERROR(__xludf.DUMMYFUNCTION("GOOGLETRANSLATE(B452,""en"",""it"")"),"Fai un giro adesso")</f>
        <v>Fai un giro adesso</v>
      </c>
      <c r="I452" s="4" t="str">
        <f>IFERROR(__xludf.DUMMYFUNCTION("GOOGLETRANSLATE(B452,""en"",""de"")"),"Machen Sie jetzt eine Fahrt")</f>
        <v>Machen Sie jetzt eine Fahrt</v>
      </c>
      <c r="J452" s="4" t="str">
        <f>IFERROR(__xludf.DUMMYFUNCTION("GOOGLETRANSLATE(B452,""en"",""ko"")"),"지금 타세요")</f>
        <v>지금 타세요</v>
      </c>
      <c r="K452" s="4" t="str">
        <f>IFERROR(__xludf.DUMMYFUNCTION("GOOGLETRANSLATE(B452,""en"",""zh"")"),"立即搭乘")</f>
        <v>立即搭乘</v>
      </c>
      <c r="L452" s="4" t="str">
        <f>IFERROR(__xludf.DUMMYFUNCTION("GOOGLETRANSLATE(B452,""en"",""es"")"),"Tome un viaje ahora")</f>
        <v>Tome un viaje ahora</v>
      </c>
      <c r="M452" s="4" t="str">
        <f>IFERROR(__xludf.DUMMYFUNCTION("GOOGLETRANSLATE(B452,""en"",""iw"")"),"קח טרמפ עכשיו")</f>
        <v>קח טרמפ עכשיו</v>
      </c>
      <c r="N452" s="4" t="str">
        <f>IFERROR(__xludf.DUMMYFUNCTION("GOOGLETRANSLATE(B452,""en"",""bn"")"),"এখন রাইড নিন")</f>
        <v>এখন রাইড নিন</v>
      </c>
      <c r="O452" s="4" t="str">
        <f>IFERROR(__xludf.DUMMYFUNCTION("GOOGLETRANSLATE(B452,""en"",""pt"")"),"Faça um passeio agora")</f>
        <v>Faça um passeio agora</v>
      </c>
    </row>
    <row r="453">
      <c r="A453" s="54" t="s">
        <v>1124</v>
      </c>
      <c r="B453" s="55" t="s">
        <v>1125</v>
      </c>
      <c r="C453" s="4" t="str">
        <f>IFERROR(__xludf.DUMMYFUNCTION("GOOGLETRANSLATE(B453,""en"",""hi"")"),"बाद में सवारी के लिए तैयार हो जाओ")</f>
        <v>बाद में सवारी के लिए तैयार हो जाओ</v>
      </c>
      <c r="D453" s="4" t="str">
        <f>IFERROR(__xludf.DUMMYFUNCTION("GOOGLETRANSLATE(B453,""en"",""ar"")"),"استعد للركوب لاحقًا")</f>
        <v>استعد للركوب لاحقًا</v>
      </c>
      <c r="E453" s="4" t="str">
        <f>IFERROR(__xludf.DUMMYFUNCTION("GOOGLETRANSLATE(B453,""en"",""fr"")"),"Préparez-vous pour une balade plus tard")</f>
        <v>Préparez-vous pour une balade plus tard</v>
      </c>
      <c r="F453" s="4" t="str">
        <f>IFERROR(__xludf.DUMMYFUNCTION("GOOGLETRANSLATE(B453,""en"",""tr"")"),"Daha Sonra Yolculuğa Hazır Olun")</f>
        <v>Daha Sonra Yolculuğa Hazır Olun</v>
      </c>
      <c r="G453" s="4" t="str">
        <f>IFERROR(__xludf.DUMMYFUNCTION("GOOGLETRANSLATE(B453,""en"",""ru"")"),"Приготовьтесь к поездке позже")</f>
        <v>Приготовьтесь к поездке позже</v>
      </c>
      <c r="H453" s="4" t="str">
        <f>IFERROR(__xludf.DUMMYFUNCTION("GOOGLETRANSLATE(B453,""en"",""it"")"),"Preparati per il viaggio più tardi")</f>
        <v>Preparati per il viaggio più tardi</v>
      </c>
      <c r="I453" s="4" t="str">
        <f>IFERROR(__xludf.DUMMYFUNCTION("GOOGLETRANSLATE(B453,""en"",""de"")"),"Machen Sie sich bereit für die spätere Fahrt")</f>
        <v>Machen Sie sich bereit für die spätere Fahrt</v>
      </c>
      <c r="J453" s="4" t="str">
        <f>IFERROR(__xludf.DUMMYFUNCTION("GOOGLETRANSLATE(B453,""en"",""ko"")"),"나중에 라이딩을 준비하세요")</f>
        <v>나중에 라이딩을 준비하세요</v>
      </c>
      <c r="K453" s="4" t="str">
        <f>IFERROR(__xludf.DUMMYFUNCTION("GOOGLETRANSLATE(B453,""en"",""zh"")"),"准备稍后乘车")</f>
        <v>准备稍后乘车</v>
      </c>
      <c r="L453" s="4" t="str">
        <f>IFERROR(__xludf.DUMMYFUNCTION("GOOGLETRANSLATE(B453,""en"",""es"")"),"Prepárate para el viaje más tarde")</f>
        <v>Prepárate para el viaje más tarde</v>
      </c>
      <c r="M453" s="4" t="str">
        <f>IFERROR(__xludf.DUMMYFUNCTION("GOOGLETRANSLATE(B453,""en"",""iw"")"),"התכונן לנסיעה מאוחר יותר")</f>
        <v>התכונן לנסיעה מאוחר יותר</v>
      </c>
      <c r="N453" s="4" t="str">
        <f>IFERROR(__xludf.DUMMYFUNCTION("GOOGLETRANSLATE(B453,""en"",""bn"")"),"পরে রাইডের জন্য প্রস্তুত হন")</f>
        <v>পরে রাইডের জন্য প্রস্তুত হন</v>
      </c>
      <c r="O453" s="4" t="str">
        <f>IFERROR(__xludf.DUMMYFUNCTION("GOOGLETRANSLATE(B453,""en"",""pt"")"),"Prepare-se para o passeio mais tarde")</f>
        <v>Prepare-se para o passeio mais tarde</v>
      </c>
    </row>
    <row r="454">
      <c r="A454" s="53" t="s">
        <v>1126</v>
      </c>
      <c r="B454" s="40" t="s">
        <v>1127</v>
      </c>
      <c r="C454" s="4" t="str">
        <f>IFERROR(__xludf.DUMMYFUNCTION("GOOGLETRANSLATE(B454,""en"",""hi"")"),"अब")</f>
        <v>अब</v>
      </c>
      <c r="D454" s="4" t="str">
        <f>IFERROR(__xludf.DUMMYFUNCTION("GOOGLETRANSLATE(B454,""en"",""ar"")"),"الآن")</f>
        <v>الآن</v>
      </c>
      <c r="E454" s="4" t="str">
        <f>IFERROR(__xludf.DUMMYFUNCTION("GOOGLETRANSLATE(B454,""en"",""fr"")"),"Maintenant")</f>
        <v>Maintenant</v>
      </c>
      <c r="F454" s="4" t="str">
        <f>IFERROR(__xludf.DUMMYFUNCTION("GOOGLETRANSLATE(B454,""en"",""tr"")"),"Şimdi")</f>
        <v>Şimdi</v>
      </c>
      <c r="G454" s="4" t="str">
        <f>IFERROR(__xludf.DUMMYFUNCTION("GOOGLETRANSLATE(B454,""en"",""ru"")"),"Сейчас")</f>
        <v>Сейчас</v>
      </c>
      <c r="H454" s="4" t="str">
        <f>IFERROR(__xludf.DUMMYFUNCTION("GOOGLETRANSLATE(B454,""en"",""it"")"),"Ora")</f>
        <v>Ora</v>
      </c>
      <c r="I454" s="4" t="str">
        <f>IFERROR(__xludf.DUMMYFUNCTION("GOOGLETRANSLATE(B454,""en"",""de"")"),"Jetzt")</f>
        <v>Jetzt</v>
      </c>
      <c r="J454" s="4" t="str">
        <f>IFERROR(__xludf.DUMMYFUNCTION("GOOGLETRANSLATE(B454,""en"",""ko"")"),"지금")</f>
        <v>지금</v>
      </c>
      <c r="K454" s="4" t="str">
        <f>IFERROR(__xludf.DUMMYFUNCTION("GOOGLETRANSLATE(B454,""en"",""zh"")"),"现在")</f>
        <v>现在</v>
      </c>
      <c r="L454" s="4" t="str">
        <f>IFERROR(__xludf.DUMMYFUNCTION("GOOGLETRANSLATE(B454,""en"",""es"")"),"Ahora")</f>
        <v>Ahora</v>
      </c>
      <c r="M454" s="4" t="str">
        <f>IFERROR(__xludf.DUMMYFUNCTION("GOOGLETRANSLATE(B454,""en"",""iw"")"),"עַכשָׁיו")</f>
        <v>עַכשָׁיו</v>
      </c>
      <c r="N454" s="4" t="str">
        <f>IFERROR(__xludf.DUMMYFUNCTION("GOOGLETRANSLATE(B454,""en"",""bn"")"),"এখন")</f>
        <v>এখন</v>
      </c>
      <c r="O454" s="4" t="str">
        <f>IFERROR(__xludf.DUMMYFUNCTION("GOOGLETRANSLATE(B454,""en"",""pt"")"),"Agora")</f>
        <v>Agora</v>
      </c>
    </row>
    <row r="455">
      <c r="A455" s="53" t="s">
        <v>1128</v>
      </c>
      <c r="B455" s="40" t="s">
        <v>1129</v>
      </c>
      <c r="C455" s="4" t="str">
        <f>IFERROR(__xludf.DUMMYFUNCTION("GOOGLETRANSLATE(B455,""en"",""hi"")"),"बाद में")</f>
        <v>बाद में</v>
      </c>
      <c r="D455" s="4" t="str">
        <f>IFERROR(__xludf.DUMMYFUNCTION("GOOGLETRANSLATE(B455,""en"",""ar"")"),"لاحقاً")</f>
        <v>لاحقاً</v>
      </c>
      <c r="E455" s="4" t="str">
        <f>IFERROR(__xludf.DUMMYFUNCTION("GOOGLETRANSLATE(B455,""en"",""fr"")"),"Plus tard")</f>
        <v>Plus tard</v>
      </c>
      <c r="F455" s="4" t="str">
        <f>IFERROR(__xludf.DUMMYFUNCTION("GOOGLETRANSLATE(B455,""en"",""tr"")"),"Daha sonra")</f>
        <v>Daha sonra</v>
      </c>
      <c r="G455" s="4" t="str">
        <f>IFERROR(__xludf.DUMMYFUNCTION("GOOGLETRANSLATE(B455,""en"",""ru"")"),"Позже")</f>
        <v>Позже</v>
      </c>
      <c r="H455" s="4" t="str">
        <f>IFERROR(__xludf.DUMMYFUNCTION("GOOGLETRANSLATE(B455,""en"",""it"")"),"Dopo")</f>
        <v>Dopo</v>
      </c>
      <c r="I455" s="4" t="str">
        <f>IFERROR(__xludf.DUMMYFUNCTION("GOOGLETRANSLATE(B455,""en"",""de"")"),"Später")</f>
        <v>Später</v>
      </c>
      <c r="J455" s="4" t="str">
        <f>IFERROR(__xludf.DUMMYFUNCTION("GOOGLETRANSLATE(B455,""en"",""ko"")"),"나중에")</f>
        <v>나중에</v>
      </c>
      <c r="K455" s="4" t="str">
        <f>IFERROR(__xludf.DUMMYFUNCTION("GOOGLETRANSLATE(B455,""en"",""zh"")"),"之后")</f>
        <v>之后</v>
      </c>
      <c r="L455" s="4" t="str">
        <f>IFERROR(__xludf.DUMMYFUNCTION("GOOGLETRANSLATE(B455,""en"",""es"")"),"Más tarde")</f>
        <v>Más tarde</v>
      </c>
      <c r="M455" s="4" t="str">
        <f>IFERROR(__xludf.DUMMYFUNCTION("GOOGLETRANSLATE(B455,""en"",""iw"")"),"מְאוּחָר יוֹתֵר")</f>
        <v>מְאוּחָר יוֹתֵר</v>
      </c>
      <c r="N455" s="4" t="str">
        <f>IFERROR(__xludf.DUMMYFUNCTION("GOOGLETRANSLATE(B455,""en"",""bn"")"),"পরে")</f>
        <v>পরে</v>
      </c>
      <c r="O455" s="4" t="str">
        <f>IFERROR(__xludf.DUMMYFUNCTION("GOOGLETRANSLATE(B455,""en"",""pt"")"),"Mais tarde")</f>
        <v>Mais tarde</v>
      </c>
    </row>
    <row r="456">
      <c r="A456" s="53" t="s">
        <v>1130</v>
      </c>
      <c r="B456" s="56" t="s">
        <v>1131</v>
      </c>
      <c r="C456" s="4" t="str">
        <f>IFERROR(__xludf.DUMMYFUNCTION("GOOGLETRANSLATE(B456,""en"",""hi"")"),"दरवाजे से दरवाजे तक")</f>
        <v>दरवाजे से दरवाजे तक</v>
      </c>
      <c r="D456" s="4" t="str">
        <f>IFERROR(__xludf.DUMMYFUNCTION("GOOGLETRANSLATE(B456,""en"",""ar"")"),"من الباب إلى الباب")</f>
        <v>من الباب إلى الباب</v>
      </c>
      <c r="E456" s="4" t="str">
        <f>IFERROR(__xludf.DUMMYFUNCTION("GOOGLETRANSLATE(B456,""en"",""fr"")"),"Porte-à-porte")</f>
        <v>Porte-à-porte</v>
      </c>
      <c r="F456" s="4" t="str">
        <f>IFERROR(__xludf.DUMMYFUNCTION("GOOGLETRANSLATE(B456,""en"",""tr"")"),"Kapıdan Kapıya")</f>
        <v>Kapıdan Kapıya</v>
      </c>
      <c r="G456" s="4" t="str">
        <f>IFERROR(__xludf.DUMMYFUNCTION("GOOGLETRANSLATE(B456,""en"",""ru"")"),"От двери до двери")</f>
        <v>От двери до двери</v>
      </c>
      <c r="H456" s="4" t="str">
        <f>IFERROR(__xludf.DUMMYFUNCTION("GOOGLETRANSLATE(B456,""en"",""it"")"),"Porta a porta")</f>
        <v>Porta a porta</v>
      </c>
      <c r="I456" s="4" t="str">
        <f>IFERROR(__xludf.DUMMYFUNCTION("GOOGLETRANSLATE(B456,""en"",""de"")"),"Tür-zu-Tür")</f>
        <v>Tür-zu-Tür</v>
      </c>
      <c r="J456" s="4" t="str">
        <f>IFERROR(__xludf.DUMMYFUNCTION("GOOGLETRANSLATE(B456,""en"",""ko"")"),"도어투도어")</f>
        <v>도어투도어</v>
      </c>
      <c r="K456" s="4" t="str">
        <f>IFERROR(__xludf.DUMMYFUNCTION("GOOGLETRANSLATE(B456,""en"",""zh"")"),"送货上门")</f>
        <v>送货上门</v>
      </c>
      <c r="L456" s="4" t="str">
        <f>IFERROR(__xludf.DUMMYFUNCTION("GOOGLETRANSLATE(B456,""en"",""es"")"),"De puerta a puerta")</f>
        <v>De puerta a puerta</v>
      </c>
      <c r="M456" s="4" t="str">
        <f>IFERROR(__xludf.DUMMYFUNCTION("GOOGLETRANSLATE(B456,""en"",""iw"")"),"מדלת לדלת")</f>
        <v>מדלת לדלת</v>
      </c>
      <c r="N456" s="4" t="str">
        <f>IFERROR(__xludf.DUMMYFUNCTION("GOOGLETRANSLATE(B456,""en"",""bn"")"),"ডোর-টু-ডোর")</f>
        <v>ডোর-টু-ডোর</v>
      </c>
      <c r="O456" s="4" t="str">
        <f>IFERROR(__xludf.DUMMYFUNCTION("GOOGLETRANSLATE(B456,""en"",""pt"")"),"Porta a porta")</f>
        <v>Porta a porta</v>
      </c>
    </row>
    <row r="457">
      <c r="A457" s="53" t="s">
        <v>1132</v>
      </c>
      <c r="B457" s="56" t="s">
        <v>1133</v>
      </c>
      <c r="C457" s="4" t="str">
        <f>IFERROR(__xludf.DUMMYFUNCTION("GOOGLETRANSLATE(B457,""en"",""hi"")"),"सुविधा, सुरक्षा,")</f>
        <v>सुविधा, सुरक्षा,</v>
      </c>
      <c r="D457" s="4" t="str">
        <f>IFERROR(__xludf.DUMMYFUNCTION("GOOGLETRANSLATE(B457,""en"",""ar"")"),"الراحة والسلامة")</f>
        <v>الراحة والسلامة</v>
      </c>
      <c r="E457" s="4" t="str">
        <f>IFERROR(__xludf.DUMMYFUNCTION("GOOGLETRANSLATE(B457,""en"",""fr"")"),"Commodité, sécurité,")</f>
        <v>Commodité, sécurité,</v>
      </c>
      <c r="F457" s="4" t="str">
        <f>IFERROR(__xludf.DUMMYFUNCTION("GOOGLETRANSLATE(B457,""en"",""tr"")"),"Rahatlık, Güvenlik,")</f>
        <v>Rahatlık, Güvenlik,</v>
      </c>
      <c r="G457" s="4" t="str">
        <f>IFERROR(__xludf.DUMMYFUNCTION("GOOGLETRANSLATE(B457,""en"",""ru"")"),"Удобство, безопасность,")</f>
        <v>Удобство, безопасность,</v>
      </c>
      <c r="H457" s="4" t="str">
        <f>IFERROR(__xludf.DUMMYFUNCTION("GOOGLETRANSLATE(B457,""en"",""it"")"),"Comodità, sicurezza,")</f>
        <v>Comodità, sicurezza,</v>
      </c>
      <c r="I457" s="4" t="str">
        <f>IFERROR(__xludf.DUMMYFUNCTION("GOOGLETRANSLATE(B457,""en"",""de"")"),"Komfort, Sicherheit,")</f>
        <v>Komfort, Sicherheit,</v>
      </c>
      <c r="J457" s="4" t="str">
        <f>IFERROR(__xludf.DUMMYFUNCTION("GOOGLETRANSLATE(B457,""en"",""ko"")"),"편의성, 안전,")</f>
        <v>편의성, 안전,</v>
      </c>
      <c r="K457" s="4" t="str">
        <f>IFERROR(__xludf.DUMMYFUNCTION("GOOGLETRANSLATE(B457,""en"",""zh"")"),"方便、安全、")</f>
        <v>方便、安全、</v>
      </c>
      <c r="L457" s="4" t="str">
        <f>IFERROR(__xludf.DUMMYFUNCTION("GOOGLETRANSLATE(B457,""en"",""es"")"),"Conveniencia, Seguridad,")</f>
        <v>Conveniencia, Seguridad,</v>
      </c>
      <c r="M457" s="4" t="str">
        <f>IFERROR(__xludf.DUMMYFUNCTION("GOOGLETRANSLATE(B457,""en"",""iw"")"),"נוחות, בטיחות,")</f>
        <v>נוחות, בטיחות,</v>
      </c>
      <c r="N457" s="4" t="str">
        <f>IFERROR(__xludf.DUMMYFUNCTION("GOOGLETRANSLATE(B457,""en"",""bn"")"),"সুবিধা, নিরাপত্তা,")</f>
        <v>সুবিধা, নিরাপত্তা,</v>
      </c>
      <c r="O457" s="4" t="str">
        <f>IFERROR(__xludf.DUMMYFUNCTION("GOOGLETRANSLATE(B457,""en"",""pt"")"),"Conveniência, Segurança,")</f>
        <v>Conveniência, Segurança,</v>
      </c>
    </row>
    <row r="458">
      <c r="A458" s="53" t="s">
        <v>1134</v>
      </c>
      <c r="B458" s="56" t="s">
        <v>1135</v>
      </c>
      <c r="C458" s="4" t="str">
        <f>IFERROR(__xludf.DUMMYFUNCTION("GOOGLETRANSLATE(B458,""en"",""hi"")"),"और विश्वसनीय गुणवत्ता,")</f>
        <v>और विश्वसनीय गुणवत्ता,</v>
      </c>
      <c r="D458" s="4" t="str">
        <f>IFERROR(__xludf.DUMMYFUNCTION("GOOGLETRANSLATE(B458,""en"",""ar"")"),"والجودة الموثوقة،")</f>
        <v>والجودة الموثوقة،</v>
      </c>
      <c r="E458" s="4" t="str">
        <f>IFERROR(__xludf.DUMMYFUNCTION("GOOGLETRANSLATE(B458,""en"",""fr"")"),"et une qualité fiable,")</f>
        <v>et une qualité fiable,</v>
      </c>
      <c r="F458" s="4" t="str">
        <f>IFERROR(__xludf.DUMMYFUNCTION("GOOGLETRANSLATE(B458,""en"",""tr"")"),"ve Güvenilir Kalite,")</f>
        <v>ve Güvenilir Kalite,</v>
      </c>
      <c r="G458" s="4" t="str">
        <f>IFERROR(__xludf.DUMMYFUNCTION("GOOGLETRANSLATE(B458,""en"",""ru"")"),"и надежное качество,")</f>
        <v>и надежное качество,</v>
      </c>
      <c r="H458" s="4" t="str">
        <f>IFERROR(__xludf.DUMMYFUNCTION("GOOGLETRANSLATE(B458,""en"",""it"")"),"e qualità affidabile,")</f>
        <v>e qualità affidabile,</v>
      </c>
      <c r="I458" s="4" t="str">
        <f>IFERROR(__xludf.DUMMYFUNCTION("GOOGLETRANSLATE(B458,""en"",""de"")"),"und zuverlässige Qualität,")</f>
        <v>und zuverlässige Qualität,</v>
      </c>
      <c r="J458" s="4" t="str">
        <f>IFERROR(__xludf.DUMMYFUNCTION("GOOGLETRANSLATE(B458,""en"",""ko"")"),"그리고 신뢰할 수 있는 품질,")</f>
        <v>그리고 신뢰할 수 있는 품질,</v>
      </c>
      <c r="K458" s="4" t="str">
        <f>IFERROR(__xludf.DUMMYFUNCTION("GOOGLETRANSLATE(B458,""en"",""zh"")"),"和可靠的质量，")</f>
        <v>和可靠的质量，</v>
      </c>
      <c r="L458" s="4" t="str">
        <f>IFERROR(__xludf.DUMMYFUNCTION("GOOGLETRANSLATE(B458,""en"",""es"")"),"y Calidad Confiable,")</f>
        <v>y Calidad Confiable,</v>
      </c>
      <c r="M458" s="4" t="str">
        <f>IFERROR(__xludf.DUMMYFUNCTION("GOOGLETRANSLATE(B458,""en"",""iw"")"),"ואיכות אמינה,")</f>
        <v>ואיכות אמינה,</v>
      </c>
      <c r="N458" s="4" t="str">
        <f>IFERROR(__xludf.DUMMYFUNCTION("GOOGLETRANSLATE(B458,""en"",""bn"")"),"এবং নির্ভরযোগ্য গুণমান,")</f>
        <v>এবং নির্ভরযোগ্য গুণমান,</v>
      </c>
      <c r="O458" s="4" t="str">
        <f>IFERROR(__xludf.DUMMYFUNCTION("GOOGLETRANSLATE(B458,""en"",""pt"")"),"e Qualidade Confiável,")</f>
        <v>e Qualidade Confiável,</v>
      </c>
    </row>
    <row r="459">
      <c r="A459" s="53" t="s">
        <v>1136</v>
      </c>
      <c r="B459" s="56" t="s">
        <v>1137</v>
      </c>
      <c r="C459" s="4" t="str">
        <f>IFERROR(__xludf.DUMMYFUNCTION("GOOGLETRANSLATE(B459,""en"",""hi"")"),"या बाद में अपना गंतव्य जोड़ें")</f>
        <v>या बाद में अपना गंतव्य जोड़ें</v>
      </c>
      <c r="D459" s="4" t="str">
        <f>IFERROR(__xludf.DUMMYFUNCTION("GOOGLETRANSLATE(B459,""en"",""ar"")"),"أو أضف وجهتك لاحقًا")</f>
        <v>أو أضف وجهتك لاحقًا</v>
      </c>
      <c r="E459" s="4" t="str">
        <f>IFERROR(__xludf.DUMMYFUNCTION("GOOGLETRANSLATE(B459,""en"",""fr"")"),"Ou ajoutez votre destination plus tard")</f>
        <v>Ou ajoutez votre destination plus tard</v>
      </c>
      <c r="F459" s="4" t="str">
        <f>IFERROR(__xludf.DUMMYFUNCTION("GOOGLETRANSLATE(B459,""en"",""tr"")"),"Veya varış noktanızı daha sonra ekleyin")</f>
        <v>Veya varış noktanızı daha sonra ekleyin</v>
      </c>
      <c r="G459" s="4" t="str">
        <f>IFERROR(__xludf.DUMMYFUNCTION("GOOGLETRANSLATE(B459,""en"",""ru"")"),"Или добавьте пункт назначения позже")</f>
        <v>Или добавьте пункт назначения позже</v>
      </c>
      <c r="H459" s="4" t="str">
        <f>IFERROR(__xludf.DUMMYFUNCTION("GOOGLETRANSLATE(B459,""en"",""it"")"),"Oppure aggiungi la tua destinazione in seguito")</f>
        <v>Oppure aggiungi la tua destinazione in seguito</v>
      </c>
      <c r="I459" s="4" t="str">
        <f>IFERROR(__xludf.DUMMYFUNCTION("GOOGLETRANSLATE(B459,""en"",""de"")"),"Oder fügen Sie Ihr Ziel später hinzu")</f>
        <v>Oder fügen Sie Ihr Ziel später hinzu</v>
      </c>
      <c r="J459" s="4" t="str">
        <f>IFERROR(__xludf.DUMMYFUNCTION("GOOGLETRANSLATE(B459,""en"",""ko"")"),"또는 나중에 목적지를 추가하세요")</f>
        <v>또는 나중에 목적지를 추가하세요</v>
      </c>
      <c r="K459" s="4" t="str">
        <f>IFERROR(__xludf.DUMMYFUNCTION("GOOGLETRANSLATE(B459,""en"",""zh"")"),"或者稍后添加您的目的地")</f>
        <v>或者稍后添加您的目的地</v>
      </c>
      <c r="L459" s="4" t="str">
        <f>IFERROR(__xludf.DUMMYFUNCTION("GOOGLETRANSLATE(B459,""en"",""es"")"),"O añade tu destino más tarde")</f>
        <v>O añade tu destino más tarde</v>
      </c>
      <c r="M459" s="4" t="str">
        <f>IFERROR(__xludf.DUMMYFUNCTION("GOOGLETRANSLATE(B459,""en"",""iw"")"),"או הוסף את היעד שלך מאוחר יותר ")</f>
        <v>או הוסף את היעד שלך מאוחר יותר </v>
      </c>
      <c r="N459" s="4" t="str">
        <f>IFERROR(__xludf.DUMMYFUNCTION("GOOGLETRANSLATE(B459,""en"",""bn"")"),"অথবা পরে আপনার গন্তব্য যোগ করুন ")</f>
        <v>অথবা পরে আপনার গন্তব্য যোগ করুন </v>
      </c>
      <c r="O459" s="4" t="str">
        <f>IFERROR(__xludf.DUMMYFUNCTION("GOOGLETRANSLATE(B459,""en"",""pt"")"),"Ou adicione seu destino mais tarde")</f>
        <v>Ou adicione seu destino mais tarde</v>
      </c>
    </row>
    <row r="460">
      <c r="A460" s="53" t="s">
        <v>1138</v>
      </c>
      <c r="B460" s="56" t="s">
        <v>423</v>
      </c>
      <c r="C460" s="4" t="str">
        <f>IFERROR(__xludf.DUMMYFUNCTION("GOOGLETRANSLATE(B460,""en"",""hi"")"),"कोई ड्राइवर नहीं मिला")</f>
        <v>कोई ड्राइवर नहीं मिला</v>
      </c>
      <c r="D460" s="4" t="str">
        <f>IFERROR(__xludf.DUMMYFUNCTION("GOOGLETRANSLATE(B460,""en"",""ar"")"),"لم يتم العثور على برنامج التشغيل")</f>
        <v>لم يتم العثور على برنامج التشغيل</v>
      </c>
      <c r="E460" s="4" t="str">
        <f>IFERROR(__xludf.DUMMYFUNCTION("GOOGLETRANSLATE(B460,""en"",""fr"")"),"Aucun pilote trouvé")</f>
        <v>Aucun pilote trouvé</v>
      </c>
      <c r="F460" s="4" t="str">
        <f>IFERROR(__xludf.DUMMYFUNCTION("GOOGLETRANSLATE(B460,""en"",""tr"")"),"Sürücü Bulunamadı")</f>
        <v>Sürücü Bulunamadı</v>
      </c>
      <c r="G460" s="4" t="str">
        <f>IFERROR(__xludf.DUMMYFUNCTION("GOOGLETRANSLATE(B460,""en"",""ru"")"),"Драйвер не найден")</f>
        <v>Драйвер не найден</v>
      </c>
      <c r="H460" s="4" t="str">
        <f>IFERROR(__xludf.DUMMYFUNCTION("GOOGLETRANSLATE(B460,""en"",""it"")"),"Nessun driver trovato")</f>
        <v>Nessun driver trovato</v>
      </c>
      <c r="I460" s="4" t="str">
        <f>IFERROR(__xludf.DUMMYFUNCTION("GOOGLETRANSLATE(B460,""en"",""de"")"),"Kein Treiber gefunden")</f>
        <v>Kein Treiber gefunden</v>
      </c>
      <c r="J460" s="4" t="str">
        <f>IFERROR(__xludf.DUMMYFUNCTION("GOOGLETRANSLATE(B460,""en"",""ko"")"),"드라이버를 찾을 수 없습니다")</f>
        <v>드라이버를 찾을 수 없습니다</v>
      </c>
      <c r="K460" s="4" t="str">
        <f>IFERROR(__xludf.DUMMYFUNCTION("GOOGLETRANSLATE(B460,""en"",""zh"")"),"未找到驱动程序")</f>
        <v>未找到驱动程序</v>
      </c>
      <c r="L460" s="4" t="str">
        <f>IFERROR(__xludf.DUMMYFUNCTION("GOOGLETRANSLATE(B460,""en"",""es"")"),"No se encontró ningún controlador")</f>
        <v>No se encontró ningún controlador</v>
      </c>
      <c r="M460" s="4" t="str">
        <f>IFERROR(__xludf.DUMMYFUNCTION("GOOGLETRANSLATE(B460,""en"",""iw"")"),"לא נמצא דרייבר")</f>
        <v>לא נמצא דרייבר</v>
      </c>
      <c r="N460" s="4" t="str">
        <f>IFERROR(__xludf.DUMMYFUNCTION("GOOGLETRANSLATE(B460,""en"",""bn"")"),"কোন ড্রাইভার পাওয়া যায়নি")</f>
        <v>কোন ড্রাইভার পাওয়া যায়নি</v>
      </c>
      <c r="O460" s="4" t="str">
        <f>IFERROR(__xludf.DUMMYFUNCTION("GOOGLETRANSLATE(B460,""en"",""pt"")"),"Nenhum driver encontrado")</f>
        <v>Nenhum driver encontrado</v>
      </c>
    </row>
    <row r="461">
      <c r="A461" s="53" t="s">
        <v>1139</v>
      </c>
      <c r="B461" s="56" t="s">
        <v>1140</v>
      </c>
      <c r="C461" s="4" t="str">
        <f>IFERROR(__xludf.DUMMYFUNCTION("GOOGLETRANSLATE(B461,""en"",""hi"")"),"ड्राइवर आपका इंतज़ार कर रहा है")</f>
        <v>ड्राइवर आपका इंतज़ार कर रहा है</v>
      </c>
      <c r="D461" s="4" t="str">
        <f>IFERROR(__xludf.DUMMYFUNCTION("GOOGLETRANSLATE(B461,""en"",""ar"")"),"السائق في انتظارك")</f>
        <v>السائق في انتظارك</v>
      </c>
      <c r="E461" s="4" t="str">
        <f>IFERROR(__xludf.DUMMYFUNCTION("GOOGLETRANSLATE(B461,""en"",""fr"")"),"Le chauffeur vous attend")</f>
        <v>Le chauffeur vous attend</v>
      </c>
      <c r="F461" s="4" t="str">
        <f>IFERROR(__xludf.DUMMYFUNCTION("GOOGLETRANSLATE(B461,""en"",""tr"")"),"Sürücü Sizi Bekliyor")</f>
        <v>Sürücü Sizi Bekliyor</v>
      </c>
      <c r="G461" s="4" t="str">
        <f>IFERROR(__xludf.DUMMYFUNCTION("GOOGLETRANSLATE(B461,""en"",""ru"")"),"Водитель ждет вас")</f>
        <v>Водитель ждет вас</v>
      </c>
      <c r="H461" s="4" t="str">
        <f>IFERROR(__xludf.DUMMYFUNCTION("GOOGLETRANSLATE(B461,""en"",""it"")"),"L'autista ti sta aspettando")</f>
        <v>L'autista ti sta aspettando</v>
      </c>
      <c r="I461" s="4" t="str">
        <f>IFERROR(__xludf.DUMMYFUNCTION("GOOGLETRANSLATE(B461,""en"",""de"")"),"Der Fahrer wartet auf Sie")</f>
        <v>Der Fahrer wartet auf Sie</v>
      </c>
      <c r="J461" s="4" t="str">
        <f>IFERROR(__xludf.DUMMYFUNCTION("GOOGLETRANSLATE(B461,""en"",""ko"")"),"운전기사가 당신을 기다리고 있습니다")</f>
        <v>운전기사가 당신을 기다리고 있습니다</v>
      </c>
      <c r="K461" s="4" t="str">
        <f>IFERROR(__xludf.DUMMYFUNCTION("GOOGLETRANSLATE(B461,""en"",""zh"")"),"司机正在等你")</f>
        <v>司机正在等你</v>
      </c>
      <c r="L461" s="4" t="str">
        <f>IFERROR(__xludf.DUMMYFUNCTION("GOOGLETRANSLATE(B461,""en"",""es"")"),"El conductor te está esperando")</f>
        <v>El conductor te está esperando</v>
      </c>
      <c r="M461" s="4" t="str">
        <f>IFERROR(__xludf.DUMMYFUNCTION("GOOGLETRANSLATE(B461,""en"",""iw"")"),"הנהג מחכה לך")</f>
        <v>הנהג מחכה לך</v>
      </c>
      <c r="N461" s="4" t="str">
        <f>IFERROR(__xludf.DUMMYFUNCTION("GOOGLETRANSLATE(B461,""en"",""bn"")"),"ড্রাইভার আপনার জন্য অপেক্ষা করছে")</f>
        <v>ড্রাইভার আপনার জন্য অপেক্ষা করছে</v>
      </c>
      <c r="O461" s="4" t="str">
        <f>IFERROR(__xludf.DUMMYFUNCTION("GOOGLETRANSLATE(B461,""en"",""pt"")"),"O motorista está esperando por você")</f>
        <v>O motorista está esperando por você</v>
      </c>
    </row>
    <row r="462">
      <c r="A462" s="53" t="s">
        <v>1141</v>
      </c>
      <c r="B462" s="56" t="s">
        <v>1142</v>
      </c>
      <c r="C462" s="4" t="str">
        <f>IFERROR(__xludf.DUMMYFUNCTION("GOOGLETRANSLATE(B462,""en"",""hi"")"),"मुखपृष्ठ पर वापस")</f>
        <v>मुखपृष्ठ पर वापस</v>
      </c>
      <c r="D462" s="4" t="str">
        <f>IFERROR(__xludf.DUMMYFUNCTION("GOOGLETRANSLATE(B462,""en"",""ar"")"),"العودة إلى الصفحة الرئيسية")</f>
        <v>العودة إلى الصفحة الرئيسية</v>
      </c>
      <c r="E462" s="4" t="str">
        <f>IFERROR(__xludf.DUMMYFUNCTION("GOOGLETRANSLATE(B462,""en"",""fr"")"),"Retour à la page d'accueil")</f>
        <v>Retour à la page d'accueil</v>
      </c>
      <c r="F462" s="4" t="str">
        <f>IFERROR(__xludf.DUMMYFUNCTION("GOOGLETRANSLATE(B462,""en"",""tr"")"),"Ana Sayfaya Dön")</f>
        <v>Ana Sayfaya Dön</v>
      </c>
      <c r="G462" s="4" t="str">
        <f>IFERROR(__xludf.DUMMYFUNCTION("GOOGLETRANSLATE(B462,""en"",""ru"")"),"Вернуться на главную страницу")</f>
        <v>Вернуться на главную страницу</v>
      </c>
      <c r="H462" s="4" t="str">
        <f>IFERROR(__xludf.DUMMYFUNCTION("GOOGLETRANSLATE(B462,""en"",""it"")"),"Torna alla home page")</f>
        <v>Torna alla home page</v>
      </c>
      <c r="I462" s="4" t="str">
        <f>IFERROR(__xludf.DUMMYFUNCTION("GOOGLETRANSLATE(B462,""en"",""de"")"),"Zurück zur Startseite")</f>
        <v>Zurück zur Startseite</v>
      </c>
      <c r="J462" s="4" t="str">
        <f>IFERROR(__xludf.DUMMYFUNCTION("GOOGLETRANSLATE(B462,""en"",""ko"")"),"홈페이지로 돌아가기")</f>
        <v>홈페이지로 돌아가기</v>
      </c>
      <c r="K462" s="4" t="str">
        <f>IFERROR(__xludf.DUMMYFUNCTION("GOOGLETRANSLATE(B462,""en"",""zh"")"),"返回主页")</f>
        <v>返回主页</v>
      </c>
      <c r="L462" s="4" t="str">
        <f>IFERROR(__xludf.DUMMYFUNCTION("GOOGLETRANSLATE(B462,""en"",""es"")"),"Volver a la página de inicio")</f>
        <v>Volver a la página de inicio</v>
      </c>
      <c r="M462" s="4" t="str">
        <f>IFERROR(__xludf.DUMMYFUNCTION("GOOGLETRANSLATE(B462,""en"",""iw"")"),"חזרה לדף הבית")</f>
        <v>חזרה לדף הבית</v>
      </c>
      <c r="N462" s="4" t="str">
        <f>IFERROR(__xludf.DUMMYFUNCTION("GOOGLETRANSLATE(B462,""en"",""bn"")"),"হোম পেজে ফিরে যান")</f>
        <v>হোম পেজে ফিরে যান</v>
      </c>
      <c r="O462" s="4" t="str">
        <f>IFERROR(__xludf.DUMMYFUNCTION("GOOGLETRANSLATE(B462,""en"",""pt"")"),"Voltar para a página inicial")</f>
        <v>Voltar para a página inicial</v>
      </c>
    </row>
    <row r="463">
      <c r="A463" s="53" t="s">
        <v>1143</v>
      </c>
      <c r="B463" s="56" t="s">
        <v>1144</v>
      </c>
      <c r="C463" s="4" t="str">
        <f>IFERROR(__xludf.DUMMYFUNCTION("GOOGLETRANSLATE(B463,""en"",""hi"")"),"एक पता जोड़ें")</f>
        <v>एक पता जोड़ें</v>
      </c>
      <c r="D463" s="4" t="str">
        <f>IFERROR(__xludf.DUMMYFUNCTION("GOOGLETRANSLATE(B463,""en"",""ar"")"),"إضافة عنوان")</f>
        <v>إضافة عنوان</v>
      </c>
      <c r="E463" s="4" t="str">
        <f>IFERROR(__xludf.DUMMYFUNCTION("GOOGLETRANSLATE(B463,""en"",""fr"")"),"Ajouter une adresse")</f>
        <v>Ajouter une adresse</v>
      </c>
      <c r="F463" s="4" t="str">
        <f>IFERROR(__xludf.DUMMYFUNCTION("GOOGLETRANSLATE(B463,""en"",""tr"")"),"Bir Adres Ekle")</f>
        <v>Bir Adres Ekle</v>
      </c>
      <c r="G463" s="4" t="str">
        <f>IFERROR(__xludf.DUMMYFUNCTION("GOOGLETRANSLATE(B463,""en"",""ru"")"),"Добавить адрес")</f>
        <v>Добавить адрес</v>
      </c>
      <c r="H463" s="4" t="str">
        <f>IFERROR(__xludf.DUMMYFUNCTION("GOOGLETRANSLATE(B463,""en"",""it"")"),"Aggiungi un indirizzo")</f>
        <v>Aggiungi un indirizzo</v>
      </c>
      <c r="I463" s="4" t="str">
        <f>IFERROR(__xludf.DUMMYFUNCTION("GOOGLETRANSLATE(B463,""en"",""de"")"),"Adresse hinzufügen")</f>
        <v>Adresse hinzufügen</v>
      </c>
      <c r="J463" s="4" t="str">
        <f>IFERROR(__xludf.DUMMYFUNCTION("GOOGLETRANSLATE(B463,""en"",""ko"")"),"주소 추가")</f>
        <v>주소 추가</v>
      </c>
      <c r="K463" s="4" t="str">
        <f>IFERROR(__xludf.DUMMYFUNCTION("GOOGLETRANSLATE(B463,""en"",""zh"")"),"添加地址")</f>
        <v>添加地址</v>
      </c>
      <c r="L463" s="4" t="str">
        <f>IFERROR(__xludf.DUMMYFUNCTION("GOOGLETRANSLATE(B463,""en"",""es"")"),"Agregar una dirección")</f>
        <v>Agregar una dirección</v>
      </c>
      <c r="M463" s="4" t="str">
        <f>IFERROR(__xludf.DUMMYFUNCTION("GOOGLETRANSLATE(B463,""en"",""iw"")"),"הוסף כתובת")</f>
        <v>הוסף כתובת</v>
      </c>
      <c r="N463" s="4" t="str">
        <f>IFERROR(__xludf.DUMMYFUNCTION("GOOGLETRANSLATE(B463,""en"",""bn"")"),"একটি ঠিকানা যোগ করুন")</f>
        <v>একটি ঠিকানা যোগ করুন</v>
      </c>
      <c r="O463" s="4" t="str">
        <f>IFERROR(__xludf.DUMMYFUNCTION("GOOGLETRANSLATE(B463,""en"",""pt"")"),"Adicionar um endereço")</f>
        <v>Adicionar um endereço</v>
      </c>
    </row>
    <row r="464">
      <c r="A464" s="53" t="s">
        <v>1145</v>
      </c>
      <c r="B464" s="56" t="s">
        <v>1146</v>
      </c>
      <c r="C464" s="4" t="str">
        <f>IFERROR(__xludf.DUMMYFUNCTION("GOOGLETRANSLATE(B464,""en"",""hi"")"),"की राशि")</f>
        <v>की राशि</v>
      </c>
      <c r="D464" s="4" t="str">
        <f>IFERROR(__xludf.DUMMYFUNCTION("GOOGLETRANSLATE(B464,""en"",""ar"")"),"كمية من")</f>
        <v>كمية من</v>
      </c>
      <c r="E464" s="4" t="str">
        <f>IFERROR(__xludf.DUMMYFUNCTION("GOOGLETRANSLATE(B464,""en"",""fr"")"),"Quantité de")</f>
        <v>Quantité de</v>
      </c>
      <c r="F464" s="4" t="str">
        <f>IFERROR(__xludf.DUMMYFUNCTION("GOOGLETRANSLATE(B464,""en"",""tr"")"),"Miktarı")</f>
        <v>Miktarı</v>
      </c>
      <c r="G464" s="4" t="str">
        <f>IFERROR(__xludf.DUMMYFUNCTION("GOOGLETRANSLATE(B464,""en"",""ru"")"),"Количество")</f>
        <v>Количество</v>
      </c>
      <c r="H464" s="4" t="str">
        <f>IFERROR(__xludf.DUMMYFUNCTION("GOOGLETRANSLATE(B464,""en"",""it"")"),"Quantità di")</f>
        <v>Quantità di</v>
      </c>
      <c r="I464" s="4" t="str">
        <f>IFERROR(__xludf.DUMMYFUNCTION("GOOGLETRANSLATE(B464,""en"",""de"")"),"Menge an")</f>
        <v>Menge an</v>
      </c>
      <c r="J464" s="4" t="str">
        <f>IFERROR(__xludf.DUMMYFUNCTION("GOOGLETRANSLATE(B464,""en"",""ko"")"),"양")</f>
        <v>양</v>
      </c>
      <c r="K464" s="4" t="str">
        <f>IFERROR(__xludf.DUMMYFUNCTION("GOOGLETRANSLATE(B464,""en"",""zh"")"),"数量")</f>
        <v>数量</v>
      </c>
      <c r="L464" s="4" t="str">
        <f>IFERROR(__xludf.DUMMYFUNCTION("GOOGLETRANSLATE(B464,""en"",""es"")"),"Cantidad de")</f>
        <v>Cantidad de</v>
      </c>
      <c r="M464" s="4" t="str">
        <f>IFERROR(__xludf.DUMMYFUNCTION("GOOGLETRANSLATE(B464,""en"",""iw"")"),"כמות של")</f>
        <v>כמות של</v>
      </c>
      <c r="N464" s="4" t="str">
        <f>IFERROR(__xludf.DUMMYFUNCTION("GOOGLETRANSLATE(B464,""en"",""bn"")"),"এর পরিমাণ")</f>
        <v>এর পরিমাণ</v>
      </c>
      <c r="O464" s="4" t="str">
        <f>IFERROR(__xludf.DUMMYFUNCTION("GOOGLETRANSLATE(B464,""en"",""pt"")"),"Quantidade de")</f>
        <v>Quantidade de</v>
      </c>
    </row>
    <row r="465">
      <c r="A465" s="53" t="s">
        <v>1147</v>
      </c>
      <c r="B465" s="56" t="s">
        <v>1148</v>
      </c>
      <c r="C465" s="4" t="str">
        <f>IFERROR(__xludf.DUMMYFUNCTION("GOOGLETRANSLATE(B465,""en"",""hi"")"),"को स्थानांतरित कर दिया गया है")</f>
        <v>को स्थानांतरित कर दिया गया है</v>
      </c>
      <c r="D465" s="4" t="str">
        <f>IFERROR(__xludf.DUMMYFUNCTION("GOOGLETRANSLATE(B465,""en"",""ar"")"),"تم نقله إلى")</f>
        <v>تم نقله إلى</v>
      </c>
      <c r="E465" s="4" t="str">
        <f>IFERROR(__xludf.DUMMYFUNCTION("GOOGLETRANSLATE(B465,""en"",""fr"")"),"a été transféré à")</f>
        <v>a été transféré à</v>
      </c>
      <c r="F465" s="4" t="str">
        <f>IFERROR(__xludf.DUMMYFUNCTION("GOOGLETRANSLATE(B465,""en"",""tr"")"),"transfer edildi")</f>
        <v>transfer edildi</v>
      </c>
      <c r="G465" s="4" t="str">
        <f>IFERROR(__xludf.DUMMYFUNCTION("GOOGLETRANSLATE(B465,""en"",""ru"")"),"был переведен в")</f>
        <v>был переведен в</v>
      </c>
      <c r="H465" s="4" t="str">
        <f>IFERROR(__xludf.DUMMYFUNCTION("GOOGLETRANSLATE(B465,""en"",""it"")"),"è stato trasferito a")</f>
        <v>è stato trasferito a</v>
      </c>
      <c r="I465" s="4" t="str">
        <f>IFERROR(__xludf.DUMMYFUNCTION("GOOGLETRANSLATE(B465,""en"",""de"")"),"wurde übertragen auf")</f>
        <v>wurde übertragen auf</v>
      </c>
      <c r="J465" s="4" t="str">
        <f>IFERROR(__xludf.DUMMYFUNCTION("GOOGLETRANSLATE(B465,""en"",""ko"")"),"로 이전되었습니다")</f>
        <v>로 이전되었습니다</v>
      </c>
      <c r="K465" s="4" t="str">
        <f>IFERROR(__xludf.DUMMYFUNCTION("GOOGLETRANSLATE(B465,""en"",""zh"")"),"已转移到")</f>
        <v>已转移到</v>
      </c>
      <c r="L465" s="4" t="str">
        <f>IFERROR(__xludf.DUMMYFUNCTION("GOOGLETRANSLATE(B465,""en"",""es"")"),"ha sido transferido a")</f>
        <v>ha sido transferido a</v>
      </c>
      <c r="M465" s="4" t="str">
        <f>IFERROR(__xludf.DUMMYFUNCTION("GOOGLETRANSLATE(B465,""en"",""iw"")"),"הועבר ל")</f>
        <v>הועבר ל</v>
      </c>
      <c r="N465" s="4" t="str">
        <f>IFERROR(__xludf.DUMMYFUNCTION("GOOGLETRANSLATE(B465,""en"",""bn"")"),"এ স্থানান্তর করা হয়েছে")</f>
        <v>এ স্থানান্তর করা হয়েছে</v>
      </c>
      <c r="O465" s="4" t="str">
        <f>IFERROR(__xludf.DUMMYFUNCTION("GOOGLETRANSLATE(B465,""en"",""pt"")"),"foi transferido para")</f>
        <v>foi transferido para</v>
      </c>
    </row>
    <row r="466">
      <c r="A466" s="53" t="s">
        <v>1149</v>
      </c>
      <c r="B466" s="56" t="s">
        <v>1150</v>
      </c>
      <c r="C466" s="4" t="str">
        <f>IFERROR(__xludf.DUMMYFUNCTION("GOOGLETRANSLATE(B466,""en"",""hi"")"),"कारखाना की जानकारी")</f>
        <v>कारखाना की जानकारी</v>
      </c>
      <c r="D466" s="4" t="str">
        <f>IFERROR(__xludf.DUMMYFUNCTION("GOOGLETRANSLATE(B466,""en"",""ar"")"),"معلومات الشركة")</f>
        <v>معلومات الشركة</v>
      </c>
      <c r="E466" s="4" t="str">
        <f>IFERROR(__xludf.DUMMYFUNCTION("GOOGLETRANSLATE(B466,""en"",""fr"")"),"Informations sur l'entreprise")</f>
        <v>Informations sur l'entreprise</v>
      </c>
      <c r="F466" s="4" t="str">
        <f>IFERROR(__xludf.DUMMYFUNCTION("GOOGLETRANSLATE(B466,""en"",""tr"")"),"Şirket Bilgileri")</f>
        <v>Şirket Bilgileri</v>
      </c>
      <c r="G466" s="4" t="str">
        <f>IFERROR(__xludf.DUMMYFUNCTION("GOOGLETRANSLATE(B466,""en"",""ru"")"),"Информация о компании")</f>
        <v>Информация о компании</v>
      </c>
      <c r="H466" s="4" t="str">
        <f>IFERROR(__xludf.DUMMYFUNCTION("GOOGLETRANSLATE(B466,""en"",""it"")"),"Informazioni aziendali")</f>
        <v>Informazioni aziendali</v>
      </c>
      <c r="I466" s="4" t="str">
        <f>IFERROR(__xludf.DUMMYFUNCTION("GOOGLETRANSLATE(B466,""en"",""de"")"),"Firmeninformation")</f>
        <v>Firmeninformation</v>
      </c>
      <c r="J466" s="4" t="str">
        <f>IFERROR(__xludf.DUMMYFUNCTION("GOOGLETRANSLATE(B466,""en"",""ko"")"),"회사 정보")</f>
        <v>회사 정보</v>
      </c>
      <c r="K466" s="4" t="str">
        <f>IFERROR(__xludf.DUMMYFUNCTION("GOOGLETRANSLATE(B466,""en"",""zh"")"),"公司信息")</f>
        <v>公司信息</v>
      </c>
      <c r="L466" s="4" t="str">
        <f>IFERROR(__xludf.DUMMYFUNCTION("GOOGLETRANSLATE(B466,""en"",""es"")"),"Información de la empresa")</f>
        <v>Información de la empresa</v>
      </c>
      <c r="M466" s="4" t="str">
        <f>IFERROR(__xludf.DUMMYFUNCTION("GOOGLETRANSLATE(B466,""en"",""iw"")"),"מידע על החברה")</f>
        <v>מידע על החברה</v>
      </c>
      <c r="N466" s="4" t="str">
        <f>IFERROR(__xludf.DUMMYFUNCTION("GOOGLETRANSLATE(B466,""en"",""bn"")"),"কোম্পানির তথ্য")</f>
        <v>কোম্পানির তথ্য</v>
      </c>
      <c r="O466" s="4" t="str">
        <f>IFERROR(__xludf.DUMMYFUNCTION("GOOGLETRANSLATE(B466,""en"",""pt"")"),"Informações da empresa")</f>
        <v>Informações da empresa</v>
      </c>
    </row>
    <row r="467">
      <c r="A467" s="57" t="s">
        <v>1151</v>
      </c>
      <c r="B467" s="36" t="s">
        <v>1152</v>
      </c>
      <c r="C467" s="4" t="str">
        <f>IFERROR(__xludf.DUMMYFUNCTION("GOOGLETRANSLATE(B467,""en"",""hi"")"),"तत्काल सवारी")</f>
        <v>तत्काल सवारी</v>
      </c>
      <c r="D467" s="4" t="str">
        <f>IFERROR(__xludf.DUMMYFUNCTION("GOOGLETRANSLATE(B467,""en"",""ar"")"),"رحلة فورية")</f>
        <v>رحلة فورية</v>
      </c>
      <c r="E467" s="4" t="str">
        <f>IFERROR(__xludf.DUMMYFUNCTION("GOOGLETRANSLATE(B467,""en"",""fr"")"),"Course instantanée")</f>
        <v>Course instantanée</v>
      </c>
      <c r="F467" s="4" t="str">
        <f>IFERROR(__xludf.DUMMYFUNCTION("GOOGLETRANSLATE(B467,""en"",""tr"")"),"Anında Yolculuk")</f>
        <v>Anında Yolculuk</v>
      </c>
      <c r="G467" s="4" t="str">
        <f>IFERROR(__xludf.DUMMYFUNCTION("GOOGLETRANSLATE(B467,""en"",""ru"")"),"Мгновенная поездка")</f>
        <v>Мгновенная поездка</v>
      </c>
      <c r="H467" s="4" t="str">
        <f>IFERROR(__xludf.DUMMYFUNCTION("GOOGLETRANSLATE(B467,""en"",""it"")"),"Corsa istantanea")</f>
        <v>Corsa istantanea</v>
      </c>
      <c r="I467" s="4" t="str">
        <f>IFERROR(__xludf.DUMMYFUNCTION("GOOGLETRANSLATE(B467,""en"",""de"")"),"Sofortige Fahrt")</f>
        <v>Sofortige Fahrt</v>
      </c>
      <c r="J467" s="4" t="str">
        <f>IFERROR(__xludf.DUMMYFUNCTION("GOOGLETRANSLATE(B467,""en"",""ko"")"),"인스턴트 라이드")</f>
        <v>인스턴트 라이드</v>
      </c>
      <c r="K467" s="4" t="str">
        <f>IFERROR(__xludf.DUMMYFUNCTION("GOOGLETRANSLATE(B467,""en"",""zh"")"),"即时骑行")</f>
        <v>即时骑行</v>
      </c>
      <c r="L467" s="4" t="str">
        <f>IFERROR(__xludf.DUMMYFUNCTION("GOOGLETRANSLATE(B467,""en"",""es"")"),"Viaje instantáneo")</f>
        <v>Viaje instantáneo</v>
      </c>
      <c r="M467" s="4" t="str">
        <f>IFERROR(__xludf.DUMMYFUNCTION("GOOGLETRANSLATE(B467,""en"",""iw"")"),"נסיעה מיידית")</f>
        <v>נסיעה מיידית</v>
      </c>
      <c r="N467" s="4" t="str">
        <f>IFERROR(__xludf.DUMMYFUNCTION("GOOGLETRANSLATE(B467,""en"",""bn"")"),"ইনস্ট্যান্ট রাইড")</f>
        <v>ইনস্ট্যান্ট রাইড</v>
      </c>
      <c r="O467" s="4" t="str">
        <f>IFERROR(__xludf.DUMMYFUNCTION("GOOGLETRANSLATE(B467,""en"",""pt"")"),"Passeio instantâneo")</f>
        <v>Passeio instantâneo</v>
      </c>
    </row>
    <row r="468">
      <c r="A468" s="58" t="s">
        <v>1153</v>
      </c>
      <c r="B468" s="59" t="s">
        <v>1154</v>
      </c>
      <c r="C468" s="4" t="str">
        <f>IFERROR(__xludf.DUMMYFUNCTION("GOOGLETRANSLATE(B468,""en"",""hi"")"),"मेरा रूट बुकिंग")</f>
        <v>मेरा रूट बुकिंग</v>
      </c>
      <c r="D468" s="4" t="str">
        <f>IFERROR(__xludf.DUMMYFUNCTION("GOOGLETRANSLATE(B468,""en"",""ar"")"),"حجز مساري")</f>
        <v>حجز مساري</v>
      </c>
      <c r="E468" s="4" t="str">
        <f>IFERROR(__xludf.DUMMYFUNCTION("GOOGLETRANSLATE(B468,""en"",""fr"")"),"Ma réservation d'itinéraire")</f>
        <v>Ma réservation d'itinéraire</v>
      </c>
      <c r="F468" s="4" t="str">
        <f>IFERROR(__xludf.DUMMYFUNCTION("GOOGLETRANSLATE(B468,""en"",""tr"")"),"Rota Rezervasyonum")</f>
        <v>Rota Rezervasyonum</v>
      </c>
      <c r="G468" s="4" t="str">
        <f>IFERROR(__xludf.DUMMYFUNCTION("GOOGLETRANSLATE(B468,""en"",""ru"")"),"Бронирование моего маршрута")</f>
        <v>Бронирование моего маршрута</v>
      </c>
      <c r="H468" s="4" t="str">
        <f>IFERROR(__xludf.DUMMYFUNCTION("GOOGLETRANSLATE(B468,""en"",""it"")"),"La mia prenotazione del percorso")</f>
        <v>La mia prenotazione del percorso</v>
      </c>
      <c r="I468" s="4" t="str">
        <f>IFERROR(__xludf.DUMMYFUNCTION("GOOGLETRANSLATE(B468,""en"",""de"")"),"Meine Routenbuchung")</f>
        <v>Meine Routenbuchung</v>
      </c>
      <c r="J468" s="4" t="str">
        <f>IFERROR(__xludf.DUMMYFUNCTION("GOOGLETRANSLATE(B468,""en"",""ko"")"),"내 경로 예약")</f>
        <v>내 경로 예약</v>
      </c>
      <c r="K468" s="4" t="str">
        <f>IFERROR(__xludf.DUMMYFUNCTION("GOOGLETRANSLATE(B468,""en"",""zh"")"),"我的路线预订")</f>
        <v>我的路线预订</v>
      </c>
      <c r="L468" s="4" t="str">
        <f>IFERROR(__xludf.DUMMYFUNCTION("GOOGLETRANSLATE(B468,""en"",""es"")"),"Mi reserva de ruta")</f>
        <v>Mi reserva de ruta</v>
      </c>
      <c r="M468" s="4" t="str">
        <f>IFERROR(__xludf.DUMMYFUNCTION("GOOGLETRANSLATE(B468,""en"",""iw"")"),"הזמנת המסלול שלי")</f>
        <v>הזמנת המסלול שלי</v>
      </c>
      <c r="N468" s="4" t="str">
        <f>IFERROR(__xludf.DUMMYFUNCTION("GOOGLETRANSLATE(B468,""en"",""bn"")"),"আমার রুট বুকিং")</f>
        <v>আমার রুট বুকিং</v>
      </c>
      <c r="O468" s="4" t="str">
        <f>IFERROR(__xludf.DUMMYFUNCTION("GOOGLETRANSLATE(B468,""en"",""pt"")"),"Minha reserva de rota")</f>
        <v>Minha reserva de rota</v>
      </c>
    </row>
    <row r="469">
      <c r="A469" s="60" t="s">
        <v>1155</v>
      </c>
      <c r="B469" s="59" t="s">
        <v>1156</v>
      </c>
      <c r="C469" s="4" t="str">
        <f>IFERROR(__xludf.DUMMYFUNCTION("GOOGLETRANSLATE(B469,""en"",""hi"")"),"घर का पता")</f>
        <v>घर का पता</v>
      </c>
      <c r="D469" s="4" t="str">
        <f>IFERROR(__xludf.DUMMYFUNCTION("GOOGLETRANSLATE(B469,""en"",""ar"")"),"عنوان المنزل")</f>
        <v>عنوان المنزل</v>
      </c>
      <c r="E469" s="4" t="str">
        <f>IFERROR(__xludf.DUMMYFUNCTION("GOOGLETRANSLATE(B469,""en"",""fr"")"),"Adresse du domicile")</f>
        <v>Adresse du domicile</v>
      </c>
      <c r="F469" s="4" t="str">
        <f>IFERROR(__xludf.DUMMYFUNCTION("GOOGLETRANSLATE(B469,""en"",""tr"")"),"Ev Adresi")</f>
        <v>Ev Adresi</v>
      </c>
      <c r="G469" s="4" t="str">
        <f>IFERROR(__xludf.DUMMYFUNCTION("GOOGLETRANSLATE(B469,""en"",""ru"")"),"Домашний адрес")</f>
        <v>Домашний адрес</v>
      </c>
      <c r="H469" s="4" t="str">
        <f>IFERROR(__xludf.DUMMYFUNCTION("GOOGLETRANSLATE(B469,""en"",""it"")"),"Indirizzo di casa")</f>
        <v>Indirizzo di casa</v>
      </c>
      <c r="I469" s="4" t="str">
        <f>IFERROR(__xludf.DUMMYFUNCTION("GOOGLETRANSLATE(B469,""en"",""de"")"),"Heimatadresse")</f>
        <v>Heimatadresse</v>
      </c>
      <c r="J469" s="4" t="str">
        <f>IFERROR(__xludf.DUMMYFUNCTION("GOOGLETRANSLATE(B469,""en"",""ko"")"),"집 주소")</f>
        <v>집 주소</v>
      </c>
      <c r="K469" s="4" t="str">
        <f>IFERROR(__xludf.DUMMYFUNCTION("GOOGLETRANSLATE(B469,""en"",""zh"")"),"家庭住址")</f>
        <v>家庭住址</v>
      </c>
      <c r="L469" s="4" t="str">
        <f>IFERROR(__xludf.DUMMYFUNCTION("GOOGLETRANSLATE(B469,""en"",""es"")"),"Dirección de domicilio")</f>
        <v>Dirección de domicilio</v>
      </c>
      <c r="M469" s="4" t="str">
        <f>IFERROR(__xludf.DUMMYFUNCTION("GOOGLETRANSLATE(B469,""en"",""iw"")"),"כתובת הבית")</f>
        <v>כתובת הבית</v>
      </c>
      <c r="N469" s="4" t="str">
        <f>IFERROR(__xludf.DUMMYFUNCTION("GOOGLETRANSLATE(B469,""en"",""bn"")"),"বাড়ির ঠিকানা")</f>
        <v>বাড়ির ঠিকানা</v>
      </c>
      <c r="O469" s="4" t="str">
        <f>IFERROR(__xludf.DUMMYFUNCTION("GOOGLETRANSLATE(B469,""en"",""pt"")"),"Endereço residencial")</f>
        <v>Endereço residencial</v>
      </c>
    </row>
    <row r="470">
      <c r="A470" s="60" t="s">
        <v>1157</v>
      </c>
      <c r="B470" s="59" t="s">
        <v>1158</v>
      </c>
      <c r="C470" s="4" t="str">
        <f>IFERROR(__xludf.DUMMYFUNCTION("GOOGLETRANSLATE(B470,""en"",""hi"")"),"घर का पता जोड़ें")</f>
        <v>घर का पता जोड़ें</v>
      </c>
      <c r="D470" s="4" t="str">
        <f>IFERROR(__xludf.DUMMYFUNCTION("GOOGLETRANSLATE(B470,""en"",""ar"")"),"إضافة عنوان المنزل")</f>
        <v>إضافة عنوان المنزل</v>
      </c>
      <c r="E470" s="4" t="str">
        <f>IFERROR(__xludf.DUMMYFUNCTION("GOOGLETRANSLATE(B470,""en"",""fr"")"),"Ajouter l'adresse du domicile")</f>
        <v>Ajouter l'adresse du domicile</v>
      </c>
      <c r="F470" s="4" t="str">
        <f>IFERROR(__xludf.DUMMYFUNCTION("GOOGLETRANSLATE(B470,""en"",""tr"")"),"Ev Adresi Ekle")</f>
        <v>Ev Adresi Ekle</v>
      </c>
      <c r="G470" s="4" t="str">
        <f>IFERROR(__xludf.DUMMYFUNCTION("GOOGLETRANSLATE(B470,""en"",""ru"")"),"Добавить домашний адрес")</f>
        <v>Добавить домашний адрес</v>
      </c>
      <c r="H470" s="4" t="str">
        <f>IFERROR(__xludf.DUMMYFUNCTION("GOOGLETRANSLATE(B470,""en"",""it"")"),"Aggiungi indirizzo di casa")</f>
        <v>Aggiungi indirizzo di casa</v>
      </c>
      <c r="I470" s="4" t="str">
        <f>IFERROR(__xludf.DUMMYFUNCTION("GOOGLETRANSLATE(B470,""en"",""de"")"),"Privatadresse hinzufügen")</f>
        <v>Privatadresse hinzufügen</v>
      </c>
      <c r="J470" s="4" t="str">
        <f>IFERROR(__xludf.DUMMYFUNCTION("GOOGLETRANSLATE(B470,""en"",""ko"")"),"집 주소 추가")</f>
        <v>집 주소 추가</v>
      </c>
      <c r="K470" s="4" t="str">
        <f>IFERROR(__xludf.DUMMYFUNCTION("GOOGLETRANSLATE(B470,""en"",""zh"")"),"添加家庭住址")</f>
        <v>添加家庭住址</v>
      </c>
      <c r="L470" s="4" t="str">
        <f>IFERROR(__xludf.DUMMYFUNCTION("GOOGLETRANSLATE(B470,""en"",""es"")"),"Agregar dirección de casa")</f>
        <v>Agregar dirección de casa</v>
      </c>
      <c r="M470" s="4" t="str">
        <f>IFERROR(__xludf.DUMMYFUNCTION("GOOGLETRANSLATE(B470,""en"",""iw"")"),"הוסף כתובת בית")</f>
        <v>הוסף כתובת בית</v>
      </c>
      <c r="N470" s="4" t="str">
        <f>IFERROR(__xludf.DUMMYFUNCTION("GOOGLETRANSLATE(B470,""en"",""bn"")"),"বাড়ির ঠিকানা যোগ করুন")</f>
        <v>বাড়ির ঠিকানা যোগ করুন</v>
      </c>
      <c r="O470" s="4" t="str">
        <f>IFERROR(__xludf.DUMMYFUNCTION("GOOGLETRANSLATE(B470,""en"",""pt"")"),"Adicionar endereço residencial")</f>
        <v>Adicionar endereço residencial</v>
      </c>
    </row>
    <row r="471">
      <c r="A471" s="60" t="s">
        <v>1159</v>
      </c>
      <c r="B471" s="59" t="s">
        <v>1160</v>
      </c>
      <c r="C471" s="4" t="str">
        <f>IFERROR(__xludf.DUMMYFUNCTION("GOOGLETRANSLATE(B471,""en"",""hi"")"),"मेरी रूट बुकिंग अक्षम करें")</f>
        <v>मेरी रूट बुकिंग अक्षम करें</v>
      </c>
      <c r="D471" s="4" t="str">
        <f>IFERROR(__xludf.DUMMYFUNCTION("GOOGLETRANSLATE(B471,""en"",""ar"")"),"تعطيل حجز مساري")</f>
        <v>تعطيل حجز مساري</v>
      </c>
      <c r="E471" s="4" t="str">
        <f>IFERROR(__xludf.DUMMYFUNCTION("GOOGLETRANSLATE(B471,""en"",""fr"")"),"Désactiver ma réservation d'itinéraire")</f>
        <v>Désactiver ma réservation d'itinéraire</v>
      </c>
      <c r="F471" s="4" t="str">
        <f>IFERROR(__xludf.DUMMYFUNCTION("GOOGLETRANSLATE(B471,""en"",""tr"")"),"Rota Rezervasyonumu Devre Dışı Bırak")</f>
        <v>Rota Rezervasyonumu Devre Dışı Bırak</v>
      </c>
      <c r="G471" s="4" t="str">
        <f>IFERROR(__xludf.DUMMYFUNCTION("GOOGLETRANSLATE(B471,""en"",""ru"")"),"Отключить бронирование маршрута")</f>
        <v>Отключить бронирование маршрута</v>
      </c>
      <c r="H471" s="4" t="str">
        <f>IFERROR(__xludf.DUMMYFUNCTION("GOOGLETRANSLATE(B471,""en"",""it"")"),"Disabilita la prenotazione del mio percorso")</f>
        <v>Disabilita la prenotazione del mio percorso</v>
      </c>
      <c r="I471" s="4" t="str">
        <f>IFERROR(__xludf.DUMMYFUNCTION("GOOGLETRANSLATE(B471,""en"",""de"")"),"Meine Routenbuchung deaktivieren")</f>
        <v>Meine Routenbuchung deaktivieren</v>
      </c>
      <c r="J471" s="4" t="str">
        <f>IFERROR(__xludf.DUMMYFUNCTION("GOOGLETRANSLATE(B471,""en"",""ko"")"),"내 경로 예약 비활성화")</f>
        <v>내 경로 예약 비활성화</v>
      </c>
      <c r="K471" s="4" t="str">
        <f>IFERROR(__xludf.DUMMYFUNCTION("GOOGLETRANSLATE(B471,""en"",""zh"")"),"禁用我的路线预订")</f>
        <v>禁用我的路线预订</v>
      </c>
      <c r="L471" s="4" t="str">
        <f>IFERROR(__xludf.DUMMYFUNCTION("GOOGLETRANSLATE(B471,""en"",""es"")"),"Desactivar mi reserva de ruta")</f>
        <v>Desactivar mi reserva de ruta</v>
      </c>
      <c r="M471" s="4" t="str">
        <f>IFERROR(__xludf.DUMMYFUNCTION("GOOGLETRANSLATE(B471,""en"",""iw"")"),"השבת את הזמנת המסלול שלי")</f>
        <v>השבת את הזמנת המסלול שלי</v>
      </c>
      <c r="N471" s="4" t="str">
        <f>IFERROR(__xludf.DUMMYFUNCTION("GOOGLETRANSLATE(B471,""en"",""bn"")"),"আমার রুট বুকিং অক্ষম করুন")</f>
        <v>আমার রুট বুকিং অক্ষম করুন</v>
      </c>
      <c r="O471" s="4" t="str">
        <f>IFERROR(__xludf.DUMMYFUNCTION("GOOGLETRANSLATE(B471,""en"",""pt"")"),"Desativar minha reserva de rota")</f>
        <v>Desativar minha reserva de rota</v>
      </c>
    </row>
    <row r="472">
      <c r="A472" s="60" t="s">
        <v>1161</v>
      </c>
      <c r="B472" s="59" t="s">
        <v>1162</v>
      </c>
      <c r="C472" s="4" t="str">
        <f>IFERROR(__xludf.DUMMYFUNCTION("GOOGLETRANSLATE(B472,""en"",""hi"")"),"मेरी रूट बुकिंग सक्षम करें")</f>
        <v>मेरी रूट बुकिंग सक्षम करें</v>
      </c>
      <c r="D472" s="4" t="str">
        <f>IFERROR(__xludf.DUMMYFUNCTION("GOOGLETRANSLATE(B472,""en"",""ar"")"),"تمكين حجز مساري")</f>
        <v>تمكين حجز مساري</v>
      </c>
      <c r="E472" s="4" t="str">
        <f>IFERROR(__xludf.DUMMYFUNCTION("GOOGLETRANSLATE(B472,""en"",""fr"")"),"Activer ma réservation d'itinéraire")</f>
        <v>Activer ma réservation d'itinéraire</v>
      </c>
      <c r="F472" s="4" t="str">
        <f>IFERROR(__xludf.DUMMYFUNCTION("GOOGLETRANSLATE(B472,""en"",""tr"")"),"Rota Rezervasyonumu Etkinleştir")</f>
        <v>Rota Rezervasyonumu Etkinleştir</v>
      </c>
      <c r="G472" s="4" t="str">
        <f>IFERROR(__xludf.DUMMYFUNCTION("GOOGLETRANSLATE(B472,""en"",""ru"")"),"Включить бронирование моего маршрута")</f>
        <v>Включить бронирование моего маршрута</v>
      </c>
      <c r="H472" s="4" t="str">
        <f>IFERROR(__xludf.DUMMYFUNCTION("GOOGLETRANSLATE(B472,""en"",""it"")"),"Abilita la prenotazione del mio percorso")</f>
        <v>Abilita la prenotazione del mio percorso</v>
      </c>
      <c r="I472" s="4" t="str">
        <f>IFERROR(__xludf.DUMMYFUNCTION("GOOGLETRANSLATE(B472,""en"",""de"")"),"Meine Routenbuchung aktivieren")</f>
        <v>Meine Routenbuchung aktivieren</v>
      </c>
      <c r="J472" s="4" t="str">
        <f>IFERROR(__xludf.DUMMYFUNCTION("GOOGLETRANSLATE(B472,""en"",""ko"")"),"내 경로 예약 활성화")</f>
        <v>내 경로 예약 활성화</v>
      </c>
      <c r="K472" s="4" t="str">
        <f>IFERROR(__xludf.DUMMYFUNCTION("GOOGLETRANSLATE(B472,""en"",""zh"")"),"启用我的路线预订")</f>
        <v>启用我的路线预订</v>
      </c>
      <c r="L472" s="4" t="str">
        <f>IFERROR(__xludf.DUMMYFUNCTION("GOOGLETRANSLATE(B472,""en"",""es"")"),"Habilitar mi reserva de ruta")</f>
        <v>Habilitar mi reserva de ruta</v>
      </c>
      <c r="M472" s="4" t="str">
        <f>IFERROR(__xludf.DUMMYFUNCTION("GOOGLETRANSLATE(B472,""en"",""iw"")"),"אפשר את הזמנת המסלול שלי")</f>
        <v>אפשר את הזמנת המסלול שלי</v>
      </c>
      <c r="N472" s="4" t="str">
        <f>IFERROR(__xludf.DUMMYFUNCTION("GOOGLETRANSLATE(B472,""en"",""bn"")"),"আমার রুট বুকিং সক্ষম করুন")</f>
        <v>আমার রুট বুকিং সক্ষম করুন</v>
      </c>
      <c r="O472" s="4" t="str">
        <f>IFERROR(__xludf.DUMMYFUNCTION("GOOGLETRANSLATE(B472,""en"",""pt"")"),"Habilitar minha reserva de rota")</f>
        <v>Habilitar minha reserva de rota</v>
      </c>
    </row>
    <row r="473">
      <c r="A473" s="60" t="s">
        <v>1163</v>
      </c>
      <c r="B473" s="59" t="s">
        <v>1164</v>
      </c>
      <c r="C473" s="4" t="str">
        <f>IFERROR(__xludf.DUMMYFUNCTION("GOOGLETRANSLATE(B473,""en"",""hi"")"),"घर का पता चुनें")</f>
        <v>घर का पता चुनें</v>
      </c>
      <c r="D473" s="4" t="str">
        <f>IFERROR(__xludf.DUMMYFUNCTION("GOOGLETRANSLATE(B473,""en"",""ar"")"),"اختر عنوان المنزل")</f>
        <v>اختر عنوان المنزل</v>
      </c>
      <c r="E473" s="4" t="str">
        <f>IFERROR(__xludf.DUMMYFUNCTION("GOOGLETRANSLATE(B473,""en"",""fr"")"),"Choisissez l'adresse du domicile")</f>
        <v>Choisissez l'adresse du domicile</v>
      </c>
      <c r="F473" s="4" t="str">
        <f>IFERROR(__xludf.DUMMYFUNCTION("GOOGLETRANSLATE(B473,""en"",""tr"")"),"Ev Adresini Seçin")</f>
        <v>Ev Adresini Seçin</v>
      </c>
      <c r="G473" s="4" t="str">
        <f>IFERROR(__xludf.DUMMYFUNCTION("GOOGLETRANSLATE(B473,""en"",""ru"")"),"Выберите домашний адрес")</f>
        <v>Выберите домашний адрес</v>
      </c>
      <c r="H473" s="4" t="str">
        <f>IFERROR(__xludf.DUMMYFUNCTION("GOOGLETRANSLATE(B473,""en"",""it"")"),"Scegli l'indirizzo di casa")</f>
        <v>Scegli l'indirizzo di casa</v>
      </c>
      <c r="I473" s="4" t="str">
        <f>IFERROR(__xludf.DUMMYFUNCTION("GOOGLETRANSLATE(B473,""en"",""de"")"),"Wählen Sie die Heimatadresse")</f>
        <v>Wählen Sie die Heimatadresse</v>
      </c>
      <c r="J473" s="4" t="str">
        <f>IFERROR(__xludf.DUMMYFUNCTION("GOOGLETRANSLATE(B473,""en"",""ko"")"),"집 주소를 선택하세요")</f>
        <v>집 주소를 선택하세요</v>
      </c>
      <c r="K473" s="4" t="str">
        <f>IFERROR(__xludf.DUMMYFUNCTION("GOOGLETRANSLATE(B473,""en"",""zh"")"),"选择家庭住址")</f>
        <v>选择家庭住址</v>
      </c>
      <c r="L473" s="4" t="str">
        <f>IFERROR(__xludf.DUMMYFUNCTION("GOOGLETRANSLATE(B473,""en"",""es"")"),"Elija la dirección de casa")</f>
        <v>Elija la dirección de casa</v>
      </c>
      <c r="M473" s="4" t="str">
        <f>IFERROR(__xludf.DUMMYFUNCTION("GOOGLETRANSLATE(B473,""en"",""iw"")"),"בחר כתובת בית")</f>
        <v>בחר כתובת בית</v>
      </c>
      <c r="N473" s="4" t="str">
        <f>IFERROR(__xludf.DUMMYFUNCTION("GOOGLETRANSLATE(B473,""en"",""bn"")"),"বাড়ির ঠিকানা বেছে নিন")</f>
        <v>বাড়ির ঠিকানা বেছে নিন</v>
      </c>
      <c r="O473" s="4" t="str">
        <f>IFERROR(__xludf.DUMMYFUNCTION("GOOGLETRANSLATE(B473,""en"",""pt"")"),"Escolha o endereço residencial")</f>
        <v>Escolha o endereço residencial</v>
      </c>
    </row>
    <row r="474">
      <c r="A474" s="61" t="s">
        <v>1165</v>
      </c>
      <c r="B474" s="59" t="s">
        <v>1166</v>
      </c>
      <c r="C474" s="4" t="str">
        <f>IFERROR(__xludf.DUMMYFUNCTION("GOOGLETRANSLATE(B474,""en"",""hi"")"),"पता सफलतापूर्वक जोड़ा गया")</f>
        <v>पता सफलतापूर्वक जोड़ा गया</v>
      </c>
      <c r="D474" s="4" t="str">
        <f>IFERROR(__xludf.DUMMYFUNCTION("GOOGLETRANSLATE(B474,""en"",""ar"")"),"تمت إضافة العنوان بنجاح")</f>
        <v>تمت إضافة العنوان بنجاح</v>
      </c>
      <c r="E474" s="4" t="str">
        <f>IFERROR(__xludf.DUMMYFUNCTION("GOOGLETRANSLATE(B474,""en"",""fr"")"),"Adresse ajoutée avec succès")</f>
        <v>Adresse ajoutée avec succès</v>
      </c>
      <c r="F474" s="4" t="str">
        <f>IFERROR(__xludf.DUMMYFUNCTION("GOOGLETRANSLATE(B474,""en"",""tr"")"),"Adres Başarıyla Eklendi")</f>
        <v>Adres Başarıyla Eklendi</v>
      </c>
      <c r="G474" s="4" t="str">
        <f>IFERROR(__xludf.DUMMYFUNCTION("GOOGLETRANSLATE(B474,""en"",""ru"")"),"Адрес успешно добавлен")</f>
        <v>Адрес успешно добавлен</v>
      </c>
      <c r="H474" s="4" t="str">
        <f>IFERROR(__xludf.DUMMYFUNCTION("GOOGLETRANSLATE(B474,""en"",""it"")"),"Indirizzo aggiunto correttamente")</f>
        <v>Indirizzo aggiunto correttamente</v>
      </c>
      <c r="I474" s="4" t="str">
        <f>IFERROR(__xludf.DUMMYFUNCTION("GOOGLETRANSLATE(B474,""en"",""de"")"),"Adresse erfolgreich hinzugefügt")</f>
        <v>Adresse erfolgreich hinzugefügt</v>
      </c>
      <c r="J474" s="4" t="str">
        <f>IFERROR(__xludf.DUMMYFUNCTION("GOOGLETRANSLATE(B474,""en"",""ko"")"),"주소가 성공적으로 추가되었습니다")</f>
        <v>주소가 성공적으로 추가되었습니다</v>
      </c>
      <c r="K474" s="4" t="str">
        <f>IFERROR(__xludf.DUMMYFUNCTION("GOOGLETRANSLATE(B474,""en"",""zh"")"),"地址添加成功")</f>
        <v>地址添加成功</v>
      </c>
      <c r="L474" s="4" t="str">
        <f>IFERROR(__xludf.DUMMYFUNCTION("GOOGLETRANSLATE(B474,""en"",""es"")"),"Dirección añadida correctamente")</f>
        <v>Dirección añadida correctamente</v>
      </c>
      <c r="M474" s="4" t="str">
        <f>IFERROR(__xludf.DUMMYFUNCTION("GOOGLETRANSLATE(B474,""en"",""iw"")"),"כתובת נוספה בהצלחה")</f>
        <v>כתובת נוספה בהצלחה</v>
      </c>
      <c r="N474" s="4" t="str">
        <f>IFERROR(__xludf.DUMMYFUNCTION("GOOGLETRANSLATE(B474,""en"",""bn"")"),"ঠিকানা সফলভাবে যোগ করা হয়েছে")</f>
        <v>ঠিকানা সফলভাবে যোগ করা হয়েছে</v>
      </c>
      <c r="O474" s="4" t="str">
        <f>IFERROR(__xludf.DUMMYFUNCTION("GOOGLETRANSLATE(B474,""en"",""pt"")"),"Endereço adicionado com sucesso")</f>
        <v>Endereço adicionado com sucesso</v>
      </c>
    </row>
    <row r="475">
      <c r="A475" s="61" t="s">
        <v>1167</v>
      </c>
      <c r="B475" s="59" t="s">
        <v>1168</v>
      </c>
      <c r="C475" s="4" t="str">
        <f>IFERROR(__xludf.DUMMYFUNCTION("GOOGLETRANSLATE(B475,""en"",""hi"")"),"आपका वर्तमान स्थान आपके घर के पते से 5 किमी से कम दूरी पर नहीं होना चाहिए")</f>
        <v>आपका वर्तमान स्थान आपके घर के पते से 5 किमी से कम दूरी पर नहीं होना चाहिए</v>
      </c>
      <c r="D475" s="4" t="str">
        <f>IFERROR(__xludf.DUMMYFUNCTION("GOOGLETRANSLATE(B475,""en"",""ar"")"),"يجب ألا يقل موقعك الحالي عن 5 كم من عنوان منزلك")</f>
        <v>يجب ألا يقل موقعك الحالي عن 5 كم من عنوان منزلك</v>
      </c>
      <c r="E475" s="4" t="str">
        <f>IFERROR(__xludf.DUMMYFUNCTION("GOOGLETRANSLATE(B475,""en"",""fr"")"),"Votre emplacement actuel ne doit pas être à moins de 5 km de votre adresse personnelle")</f>
        <v>Votre emplacement actuel ne doit pas être à moins de 5 km de votre adresse personnelle</v>
      </c>
      <c r="F475" s="4" t="str">
        <f>IFERROR(__xludf.DUMMYFUNCTION("GOOGLETRANSLATE(B475,""en"",""tr"")"),"Mevcut konumunuz ev adresinizden en az 5 km uzaklıkta olmalıdır")</f>
        <v>Mevcut konumunuz ev adresinizden en az 5 km uzaklıkta olmalıdır</v>
      </c>
      <c r="G475" s="4" t="str">
        <f>IFERROR(__xludf.DUMMYFUNCTION("GOOGLETRANSLATE(B475,""en"",""ru"")"),"Ваше текущее местоположение должно быть не менее 5 км от вашего домашнего адреса.")</f>
        <v>Ваше текущее местоположение должно быть не менее 5 км от вашего домашнего адреса.</v>
      </c>
      <c r="H475" s="4" t="str">
        <f>IFERROR(__xludf.DUMMYFUNCTION("GOOGLETRANSLATE(B475,""en"",""it"")"),"La tua posizione attuale non dovrebbe essere inferiore a 5 km dal tuo indirizzo di casa")</f>
        <v>La tua posizione attuale non dovrebbe essere inferiore a 5 km dal tuo indirizzo di casa</v>
      </c>
      <c r="I475" s="4" t="str">
        <f>IFERROR(__xludf.DUMMYFUNCTION("GOOGLETRANSLATE(B475,""en"",""de"")"),"Ihr aktueller Standort sollte nicht weniger als 5 km von Ihrer Heimatadresse entfernt sein")</f>
        <v>Ihr aktueller Standort sollte nicht weniger als 5 km von Ihrer Heimatadresse entfernt sein</v>
      </c>
      <c r="J475" s="4" t="str">
        <f>IFERROR(__xludf.DUMMYFUNCTION("GOOGLETRANSLATE(B475,""en"",""ko"")"),"현재 위치는 집 주소로부터 5km 이내여야 합니다.")</f>
        <v>현재 위치는 집 주소로부터 5km 이내여야 합니다.</v>
      </c>
      <c r="K475" s="4" t="str">
        <f>IFERROR(__xludf.DUMMYFUNCTION("GOOGLETRANSLATE(B475,""en"",""zh"")"),"您当前的位置距离您的家庭住址不得小于 5 公里")</f>
        <v>您当前的位置距离您的家庭住址不得小于 5 公里</v>
      </c>
      <c r="L475" s="4" t="str">
        <f>IFERROR(__xludf.DUMMYFUNCTION("GOOGLETRANSLATE(B475,""en"",""es"")"),"Su ubicación actual no debe estar a menos de 5 km de su domicilio.")</f>
        <v>Su ubicación actual no debe estar a menos de 5 km de su domicilio.</v>
      </c>
      <c r="M475" s="4" t="str">
        <f>IFERROR(__xludf.DUMMYFUNCTION("GOOGLETRANSLATE(B475,""en"",""iw"")"),"המיקום הנוכחי שלך לא צריך להיות פחות מ-5 ק""מ מכתובת הבית שלך")</f>
        <v>המיקום הנוכחי שלך לא צריך להיות פחות מ-5 ק"מ מכתובת הבית שלך</v>
      </c>
      <c r="N475" s="4" t="str">
        <f>IFERROR(__xludf.DUMMYFUNCTION("GOOGLETRANSLATE(B475,""en"",""bn"")"),"আপনার বর্তমান অবস্থান আপনার বাড়ির ঠিকানা থেকে 5 কিলোমিটারের কম হওয়া উচিত নয়")</f>
        <v>আপনার বর্তমান অবস্থান আপনার বাড়ির ঠিকানা থেকে 5 কিলোমিটারের কম হওয়া উচিত নয়</v>
      </c>
      <c r="O475" s="4" t="str">
        <f>IFERROR(__xludf.DUMMYFUNCTION("GOOGLETRANSLATE(B475,""en"",""pt"")"),"Sua localização atual não deve ser inferior a 5 km do seu endereço residencial")</f>
        <v>Sua localização atual não deve ser inferior a 5 km do seu endereço residencial</v>
      </c>
    </row>
    <row r="476">
      <c r="A476" s="62" t="s">
        <v>1169</v>
      </c>
      <c r="B476" s="63" t="s">
        <v>1170</v>
      </c>
      <c r="C476" s="64" t="str">
        <f>IFERROR(__xludf.DUMMYFUNCTION("GOOGLETRANSLATE(B476,""en"",""hi"")"),"ड्रॉप इन का रास्ता")</f>
        <v>ड्रॉप इन का रास्ता</v>
      </c>
      <c r="D476" s="65" t="str">
        <f>IFERROR(__xludf.DUMMYFUNCTION("GOOGLETRANSLATE(B476,""en"",""ar"")"),"طريقة الدخول")</f>
        <v>طريقة الدخول</v>
      </c>
      <c r="E476" s="65" t="str">
        <f>IFERROR(__xludf.DUMMYFUNCTION("GOOGLETRANSLATE(B476,""en"",""fr"")"),"Une façon de passer à l'action")</f>
        <v>Une façon de passer à l'action</v>
      </c>
      <c r="F476" s="65" t="str">
        <f>IFERROR(__xludf.DUMMYFUNCTION("GOOGLETRANSLATE(B476,""en"",""tr"")"),"Bırakmanın Yolu")</f>
        <v>Bırakmanın Yolu</v>
      </c>
      <c r="G476" s="65" t="str">
        <f>IFERROR(__xludf.DUMMYFUNCTION("GOOGLETRANSLATE(B476,""en"",""ru"")"),"Способ зайти")</f>
        <v>Способ зайти</v>
      </c>
      <c r="H476" s="65" t="str">
        <f>IFERROR(__xludf.DUMMYFUNCTION("GOOGLETRANSLATE(B476,""en"",""it"")"),"Modo per entrare")</f>
        <v>Modo per entrare</v>
      </c>
      <c r="I476" s="65" t="str">
        <f>IFERROR(__xludf.DUMMYFUNCTION("GOOGLETRANSLATE(B476,""en"",""de"")"),"Möglichkeit zum Einsteigen")</f>
        <v>Möglichkeit zum Einsteigen</v>
      </c>
      <c r="J476" s="65" t="str">
        <f>IFERROR(__xludf.DUMMYFUNCTION("GOOGLETRANSLATE(B476,""en"",""ko"")"),"드롭인 방법")</f>
        <v>드롭인 방법</v>
      </c>
      <c r="K476" s="65" t="str">
        <f>IFERROR(__xludf.DUMMYFUNCTION("GOOGLETRANSLATE(B476,""en"",""zh"")"),"入住方式")</f>
        <v>入住方式</v>
      </c>
      <c r="L476" s="65" t="str">
        <f>IFERROR(__xludf.DUMMYFUNCTION("GOOGLETRANSLATE(B476,""en"",""es"")"),"Manera de entrar")</f>
        <v>Manera de entrar</v>
      </c>
      <c r="M476" s="64" t="str">
        <f>IFERROR(__xludf.DUMMYFUNCTION("GOOGLETRANSLATE(B476,""en"",""iw"")"),"דרך להיכנס")</f>
        <v>דרך להיכנס</v>
      </c>
      <c r="N476" s="65" t="str">
        <f>IFERROR(__xludf.DUMMYFUNCTION("GOOGLETRANSLATE(B476,""en"",""bn"")"),"ড্রপ ইন করার উপায়")</f>
        <v>ড্রপ ইন করার উপায়</v>
      </c>
      <c r="O476" s="4" t="str">
        <f>IFERROR(__xludf.DUMMYFUNCTION("GOOGLETRANSLATE(B476,""en"",""pt"")"),"Maneira de entrar")</f>
        <v>Maneira de entrar</v>
      </c>
    </row>
    <row r="477">
      <c r="A477" s="66" t="s">
        <v>1171</v>
      </c>
      <c r="B477" s="59" t="s">
        <v>1172</v>
      </c>
      <c r="C477" s="64" t="str">
        <f>IFERROR(__xludf.DUMMYFUNCTION("GOOGLETRANSLATE(B477,""en"",""hi"")"),"कृपया मान्य रेफ़रल कोड दर्ज करें")</f>
        <v>कृपया मान्य रेफ़रल कोड दर्ज करें</v>
      </c>
      <c r="D477" s="65" t="str">
        <f>IFERROR(__xludf.DUMMYFUNCTION("GOOGLETRANSLATE(B477,""en"",""ar"")"),"الرجاء إدخال رمز الإحالة الصحيح")</f>
        <v>الرجاء إدخال رمز الإحالة الصحيح</v>
      </c>
      <c r="E477" s="65" t="str">
        <f>IFERROR(__xludf.DUMMYFUNCTION("GOOGLETRANSLATE(B477,""en"",""fr"")"),"Veuillez saisir un code de parrainage valide")</f>
        <v>Veuillez saisir un code de parrainage valide</v>
      </c>
      <c r="F477" s="65" t="str">
        <f>IFERROR(__xludf.DUMMYFUNCTION("GOOGLETRANSLATE(B477,""en"",""tr"")"),"Lütfen geçerli bir Yönlendirme Kodu girin")</f>
        <v>Lütfen geçerli bir Yönlendirme Kodu girin</v>
      </c>
      <c r="G477" s="65" t="str">
        <f>IFERROR(__xludf.DUMMYFUNCTION("GOOGLETRANSLATE(B477,""en"",""ru"")"),"Пожалуйста, введите действительный реферальный код")</f>
        <v>Пожалуйста, введите действительный реферальный код</v>
      </c>
      <c r="H477" s="65" t="str">
        <f>IFERROR(__xludf.DUMMYFUNCTION("GOOGLETRANSLATE(B477,""en"",""it"")"),"Inserisci un codice di riferimento valido")</f>
        <v>Inserisci un codice di riferimento valido</v>
      </c>
      <c r="I477" s="65" t="str">
        <f>IFERROR(__xludf.DUMMYFUNCTION("GOOGLETRANSLATE(B477,""en"",""de"")"),"Bitte geben Sie einen gültigen Empfehlungscode ein")</f>
        <v>Bitte geben Sie einen gültigen Empfehlungscode ein</v>
      </c>
      <c r="J477" s="65" t="str">
        <f>IFERROR(__xludf.DUMMYFUNCTION("GOOGLETRANSLATE(B477,""en"",""ko"")"),"유효한 추천 코드를 입력하세요")</f>
        <v>유효한 추천 코드를 입력하세요</v>
      </c>
      <c r="K477" s="65" t="str">
        <f>IFERROR(__xludf.DUMMYFUNCTION("GOOGLETRANSLATE(B477,""en"",""zh"")"),"请输入有效的推荐码")</f>
        <v>请输入有效的推荐码</v>
      </c>
      <c r="L477" s="65" t="str">
        <f>IFERROR(__xludf.DUMMYFUNCTION("GOOGLETRANSLATE(B477,""en"",""es"")"),"Por favor ingrese un código de referencia válido")</f>
        <v>Por favor ingrese un código de referencia válido</v>
      </c>
      <c r="M477" s="64" t="str">
        <f>IFERROR(__xludf.DUMMYFUNCTION("GOOGLETRANSLATE(B477,""en"",""iw"")"),"אנא הזן קוד הפניה חוקי")</f>
        <v>אנא הזן קוד הפניה חוקי</v>
      </c>
      <c r="N477" s="65" t="str">
        <f>IFERROR(__xludf.DUMMYFUNCTION("GOOGLETRANSLATE(B477,""en"",""bn"")"),"দয়া করে বৈধ রেফারেল কোড লিখুন")</f>
        <v>দয়া করে বৈধ রেফারেল কোড লিখুন</v>
      </c>
      <c r="O477" s="4" t="str">
        <f>IFERROR(__xludf.DUMMYFUNCTION("GOOGLETRANSLATE(B477,""en"",""pt"")"),"Por favor, insira um código de referência válido")</f>
        <v>Por favor, insira um código de referência válido</v>
      </c>
    </row>
    <row r="478">
      <c r="A478" s="66" t="s">
        <v>1173</v>
      </c>
      <c r="B478" s="59" t="s">
        <v>1174</v>
      </c>
      <c r="C478" s="64" t="str">
        <f>IFERROR(__xludf.DUMMYFUNCTION("GOOGLETRANSLATE(B478,""en"",""hi"")"),"शिपमेंट लोड")</f>
        <v>शिपमेंट लोड</v>
      </c>
      <c r="D478" s="65" t="str">
        <f>IFERROR(__xludf.DUMMYFUNCTION("GOOGLETRANSLATE(B478,""en"",""ar"")"),"حمولة الشحنة")</f>
        <v>حمولة الشحنة</v>
      </c>
      <c r="E478" s="65" t="str">
        <f>IFERROR(__xludf.DUMMYFUNCTION("GOOGLETRANSLATE(B478,""en"",""fr"")"),"Charge d'expédition")</f>
        <v>Charge d'expédition</v>
      </c>
      <c r="F478" s="65" t="str">
        <f>IFERROR(__xludf.DUMMYFUNCTION("GOOGLETRANSLATE(B478,""en"",""tr"")"),"Sevkiyat Yükü")</f>
        <v>Sevkiyat Yükü</v>
      </c>
      <c r="G478" s="65" t="str">
        <f>IFERROR(__xludf.DUMMYFUNCTION("GOOGLETRANSLATE(B478,""en"",""ru"")"),"Отгрузка Нагрузка")</f>
        <v>Отгрузка Нагрузка</v>
      </c>
      <c r="H478" s="65" t="str">
        <f>IFERROR(__xludf.DUMMYFUNCTION("GOOGLETRANSLATE(B478,""en"",""it"")"),"Carico di spedizione")</f>
        <v>Carico di spedizione</v>
      </c>
      <c r="I478" s="65" t="str">
        <f>IFERROR(__xludf.DUMMYFUNCTION("GOOGLETRANSLATE(B478,""en"",""de"")"),"Sendungsladung")</f>
        <v>Sendungsladung</v>
      </c>
      <c r="J478" s="65" t="str">
        <f>IFERROR(__xludf.DUMMYFUNCTION("GOOGLETRANSLATE(B478,""en"",""ko"")"),"선적 부하")</f>
        <v>선적 부하</v>
      </c>
      <c r="K478" s="65" t="str">
        <f>IFERROR(__xludf.DUMMYFUNCTION("GOOGLETRANSLATE(B478,""en"",""zh"")"),"装运量")</f>
        <v>装运量</v>
      </c>
      <c r="L478" s="65" t="str">
        <f>IFERROR(__xludf.DUMMYFUNCTION("GOOGLETRANSLATE(B478,""en"",""es"")"),"Carga de envío")</f>
        <v>Carga de envío</v>
      </c>
      <c r="M478" s="64" t="str">
        <f>IFERROR(__xludf.DUMMYFUNCTION("GOOGLETRANSLATE(B478,""en"",""iw"")"),"עומס משלוח")</f>
        <v>עומס משלוח</v>
      </c>
      <c r="N478" s="65" t="str">
        <f>IFERROR(__xludf.DUMMYFUNCTION("GOOGLETRANSLATE(B478,""en"",""bn"")"),"চালান লোড")</f>
        <v>চালান লোড</v>
      </c>
      <c r="O478" s="4" t="str">
        <f>IFERROR(__xludf.DUMMYFUNCTION("GOOGLETRANSLATE(B478,""en"",""pt"")"),"Carga de embarque")</f>
        <v>Carga de embarque</v>
      </c>
    </row>
    <row r="479">
      <c r="A479" s="66" t="s">
        <v>1175</v>
      </c>
      <c r="B479" s="59" t="s">
        <v>1176</v>
      </c>
      <c r="C479" s="64" t="str">
        <f>IFERROR(__xludf.DUMMYFUNCTION("GOOGLETRANSLATE(B479,""en"",""hi"")"),"शिपमेंट अनलोड")</f>
        <v>शिपमेंट अनलोड</v>
      </c>
      <c r="D479" s="65" t="str">
        <f>IFERROR(__xludf.DUMMYFUNCTION("GOOGLETRANSLATE(B479,""en"",""ar"")"),"تفريغ الشحنة")</f>
        <v>تفريغ الشحنة</v>
      </c>
      <c r="E479" s="65" t="str">
        <f>IFERROR(__xludf.DUMMYFUNCTION("GOOGLETRANSLATE(B479,""en"",""fr"")"),"Déchargement de l'expédition")</f>
        <v>Déchargement de l'expédition</v>
      </c>
      <c r="F479" s="65" t="str">
        <f>IFERROR(__xludf.DUMMYFUNCTION("GOOGLETRANSLATE(B479,""en"",""tr"")"),"Sevkiyat Boşaltma")</f>
        <v>Sevkiyat Boşaltma</v>
      </c>
      <c r="G479" s="65" t="str">
        <f>IFERROR(__xludf.DUMMYFUNCTION("GOOGLETRANSLATE(B479,""en"",""ru"")"),"Разгрузка груза")</f>
        <v>Разгрузка груза</v>
      </c>
      <c r="H479" s="65" t="str">
        <f>IFERROR(__xludf.DUMMYFUNCTION("GOOGLETRANSLATE(B479,""en"",""it"")"),"Scarico della spedizione")</f>
        <v>Scarico della spedizione</v>
      </c>
      <c r="I479" s="65" t="str">
        <f>IFERROR(__xludf.DUMMYFUNCTION("GOOGLETRANSLATE(B479,""en"",""de"")"),"Sendung entladen")</f>
        <v>Sendung entladen</v>
      </c>
      <c r="J479" s="65" t="str">
        <f>IFERROR(__xludf.DUMMYFUNCTION("GOOGLETRANSLATE(B479,""en"",""ko"")"),"선적 하역")</f>
        <v>선적 하역</v>
      </c>
      <c r="K479" s="65" t="str">
        <f>IFERROR(__xludf.DUMMYFUNCTION("GOOGLETRANSLATE(B479,""en"",""zh"")"),"卸载货物")</f>
        <v>卸载货物</v>
      </c>
      <c r="L479" s="65" t="str">
        <f>IFERROR(__xludf.DUMMYFUNCTION("GOOGLETRANSLATE(B479,""en"",""es"")"),"Descarga del envío")</f>
        <v>Descarga del envío</v>
      </c>
      <c r="M479" s="64" t="str">
        <f>IFERROR(__xludf.DUMMYFUNCTION("GOOGLETRANSLATE(B479,""en"",""iw"")"),"פריקת המשלוח")</f>
        <v>פריקת המשלוח</v>
      </c>
      <c r="N479" s="65" t="str">
        <f>IFERROR(__xludf.DUMMYFUNCTION("GOOGLETRANSLATE(B479,""en"",""bn"")"),"চালান আনলোড")</f>
        <v>চালান আনলোড</v>
      </c>
      <c r="O479" s="4" t="str">
        <f>IFERROR(__xludf.DUMMYFUNCTION("GOOGLETRANSLATE(B479,""en"",""pt"")"),"Descarregamento de Remessa")</f>
        <v>Descarregamento de Remessa</v>
      </c>
    </row>
    <row r="480">
      <c r="A480" s="66" t="s">
        <v>1177</v>
      </c>
      <c r="B480" s="59" t="s">
        <v>1178</v>
      </c>
      <c r="C480" s="64" t="str">
        <f>IFERROR(__xludf.DUMMYFUNCTION("GOOGLETRANSLATE(B480,""en"",""hi"")"),"निर्देश")</f>
        <v>निर्देश</v>
      </c>
      <c r="D480" s="65" t="str">
        <f>IFERROR(__xludf.DUMMYFUNCTION("GOOGLETRANSLATE(B480,""en"",""ar"")"),"تعليمات")</f>
        <v>تعليمات</v>
      </c>
      <c r="E480" s="65" t="str">
        <f>IFERROR(__xludf.DUMMYFUNCTION("GOOGLETRANSLATE(B480,""en"",""fr"")"),"Instructions")</f>
        <v>Instructions</v>
      </c>
      <c r="F480" s="65" t="str">
        <f>IFERROR(__xludf.DUMMYFUNCTION("GOOGLETRANSLATE(B480,""en"",""tr"")"),"Talimatlar")</f>
        <v>Talimatlar</v>
      </c>
      <c r="G480" s="65" t="str">
        <f>IFERROR(__xludf.DUMMYFUNCTION("GOOGLETRANSLATE(B480,""en"",""ru"")"),"Инструкции")</f>
        <v>Инструкции</v>
      </c>
      <c r="H480" s="65" t="str">
        <f>IFERROR(__xludf.DUMMYFUNCTION("GOOGLETRANSLATE(B480,""en"",""it"")"),"Istruzioni")</f>
        <v>Istruzioni</v>
      </c>
      <c r="I480" s="65" t="str">
        <f>IFERROR(__xludf.DUMMYFUNCTION("GOOGLETRANSLATE(B480,""en"",""de"")"),"Anweisungen")</f>
        <v>Anweisungen</v>
      </c>
      <c r="J480" s="65" t="str">
        <f>IFERROR(__xludf.DUMMYFUNCTION("GOOGLETRANSLATE(B480,""en"",""ko"")"),"지침")</f>
        <v>지침</v>
      </c>
      <c r="K480" s="65" t="str">
        <f>IFERROR(__xludf.DUMMYFUNCTION("GOOGLETRANSLATE(B480,""en"",""zh"")"),"指示")</f>
        <v>指示</v>
      </c>
      <c r="L480" s="65" t="str">
        <f>IFERROR(__xludf.DUMMYFUNCTION("GOOGLETRANSLATE(B480,""en"",""es"")"),"Instrucciones")</f>
        <v>Instrucciones</v>
      </c>
      <c r="M480" s="64" t="str">
        <f>IFERROR(__xludf.DUMMYFUNCTION("GOOGLETRANSLATE(B480,""en"",""iw"")"),"הוראות")</f>
        <v>הוראות</v>
      </c>
      <c r="N480" s="65" t="str">
        <f>IFERROR(__xludf.DUMMYFUNCTION("GOOGLETRANSLATE(B480,""en"",""bn"")"),"নির্দেশনা")</f>
        <v>নির্দেশনা</v>
      </c>
      <c r="O480" s="4" t="str">
        <f>IFERROR(__xludf.DUMMYFUNCTION("GOOGLETRANSLATE(B480,""en"",""pt"")"),"Instruções")</f>
        <v>Instruções</v>
      </c>
    </row>
    <row r="481">
      <c r="A481" s="66" t="s">
        <v>1179</v>
      </c>
      <c r="B481" s="59" t="s">
        <v>1180</v>
      </c>
      <c r="C481" s="64" t="str">
        <f>IFERROR(__xludf.DUMMYFUNCTION("GOOGLETRANSLATE(B481,""en"",""hi"")"),"निर्देश जोड़ें")</f>
        <v>निर्देश जोड़ें</v>
      </c>
      <c r="D481" s="65" t="str">
        <f>IFERROR(__xludf.DUMMYFUNCTION("GOOGLETRANSLATE(B481,""en"",""ar"")"),"إضافة التعليمات")</f>
        <v>إضافة التعليمات</v>
      </c>
      <c r="E481" s="65" t="str">
        <f>IFERROR(__xludf.DUMMYFUNCTION("GOOGLETRANSLATE(B481,""en"",""fr"")"),"Ajouter des instructions")</f>
        <v>Ajouter des instructions</v>
      </c>
      <c r="F481" s="65" t="str">
        <f>IFERROR(__xludf.DUMMYFUNCTION("GOOGLETRANSLATE(B481,""en"",""tr"")"),"Talimatları Ekle")</f>
        <v>Talimatları Ekle</v>
      </c>
      <c r="G481" s="65" t="str">
        <f>IFERROR(__xludf.DUMMYFUNCTION("GOOGLETRANSLATE(B481,""en"",""ru"")"),"Добавить инструкции")</f>
        <v>Добавить инструкции</v>
      </c>
      <c r="H481" s="65" t="str">
        <f>IFERROR(__xludf.DUMMYFUNCTION("GOOGLETRANSLATE(B481,""en"",""it"")"),"Aggiungi istruzioni")</f>
        <v>Aggiungi istruzioni</v>
      </c>
      <c r="I481" s="65" t="str">
        <f>IFERROR(__xludf.DUMMYFUNCTION("GOOGLETRANSLATE(B481,""en"",""de"")"),"Anweisungen hinzufügen")</f>
        <v>Anweisungen hinzufügen</v>
      </c>
      <c r="J481" s="65" t="str">
        <f>IFERROR(__xludf.DUMMYFUNCTION("GOOGLETRANSLATE(B481,""en"",""ko"")"),"지침 추가")</f>
        <v>지침 추가</v>
      </c>
      <c r="K481" s="65" t="str">
        <f>IFERROR(__xludf.DUMMYFUNCTION("GOOGLETRANSLATE(B481,""en"",""zh"")"),"添加说明")</f>
        <v>添加说明</v>
      </c>
      <c r="L481" s="65" t="str">
        <f>IFERROR(__xludf.DUMMYFUNCTION("GOOGLETRANSLATE(B481,""en"",""es"")"),"Agregar instrucciones")</f>
        <v>Agregar instrucciones</v>
      </c>
      <c r="M481" s="64" t="str">
        <f>IFERROR(__xludf.DUMMYFUNCTION("GOOGLETRANSLATE(B481,""en"",""iw"")"),"הוסף הוראות")</f>
        <v>הוסף הוראות</v>
      </c>
      <c r="N481" s="65" t="str">
        <f>IFERROR(__xludf.DUMMYFUNCTION("GOOGLETRANSLATE(B481,""en"",""bn"")"),"নির্দেশাবলী যোগ করুন")</f>
        <v>নির্দেশাবলী যোগ করুন</v>
      </c>
      <c r="O481" s="4" t="str">
        <f>IFERROR(__xludf.DUMMYFUNCTION("GOOGLETRANSLATE(B481,""en"",""pt"")"),"Adicionar instruções")</f>
        <v>Adicionar instruções</v>
      </c>
    </row>
    <row r="482">
      <c r="A482" s="66" t="s">
        <v>1181</v>
      </c>
      <c r="B482" s="59" t="s">
        <v>1182</v>
      </c>
      <c r="C482" s="64" t="str">
        <f>IFERROR(__xludf.DUMMYFUNCTION("GOOGLETRANSLATE(B482,""en"",""hi"")"),"स्विच एड्रेस स्थिति के लिए देर तक दबाएँ और ले जाएँ")</f>
        <v>स्विच एड्रेस स्थिति के लिए देर तक दबाएँ और ले जाएँ</v>
      </c>
      <c r="D482" s="65" t="str">
        <f>IFERROR(__xludf.DUMMYFUNCTION("GOOGLETRANSLATE(B482,""en"",""ar"")"),"اضغط لفترة طويلة ثم حرك للحصول على موضع عنوان التبديل")</f>
        <v>اضغط لفترة طويلة ثم حرك للحصول على موضع عنوان التبديل</v>
      </c>
      <c r="E482" s="65" t="str">
        <f>IFERROR(__xludf.DUMMYFUNCTION("GOOGLETRANSLATE(B482,""en"",""fr"")"),"Appuyez longuement et déplacez pour la position de l'adresse du commutateur")</f>
        <v>Appuyez longuement et déplacez pour la position de l'adresse du commutateur</v>
      </c>
      <c r="F482" s="65" t="str">
        <f>IFERROR(__xludf.DUMMYFUNCTION("GOOGLETRANSLATE(B482,""en"",""tr"")"),"Uzun basın ve anahtar adres konumuna doğru hareket edin")</f>
        <v>Uzun basın ve anahtar adres konumuna doğru hareket edin</v>
      </c>
      <c r="G482" s="65" t="str">
        <f>IFERROR(__xludf.DUMMYFUNCTION("GOOGLETRANSLATE(B482,""en"",""ru"")"),"Длительное нажатие и перемещение для переключения положения адреса")</f>
        <v>Длительное нажатие и перемещение для переключения положения адреса</v>
      </c>
      <c r="H482" s="65" t="str">
        <f>IFERROR(__xludf.DUMMYFUNCTION("GOOGLETRANSLATE(B482,""en"",""it"")"),"Premere a lungo e spostare per cambiare la posizione dell'indirizzo")</f>
        <v>Premere a lungo e spostare per cambiare la posizione dell'indirizzo</v>
      </c>
      <c r="I482" s="65" t="str">
        <f>IFERROR(__xludf.DUMMYFUNCTION("GOOGLETRANSLATE(B482,""en"",""de"")"),"Lange drücken und bewegen, um die Adressposition des Schalters zu ändern")</f>
        <v>Lange drücken und bewegen, um die Adressposition des Schalters zu ändern</v>
      </c>
      <c r="J482" s="65" t="str">
        <f>IFERROR(__xludf.DUMMYFUNCTION("GOOGLETRANSLATE(B482,""en"",""ko"")"),"길게 눌러서 스위치 주소 위치로 이동하세요")</f>
        <v>길게 눌러서 스위치 주소 위치로 이동하세요</v>
      </c>
      <c r="K482" s="65" t="str">
        <f>IFERROR(__xludf.DUMMYFUNCTION("GOOGLETRANSLATE(B482,""en"",""zh"")"),"长按移动切换地址位置")</f>
        <v>长按移动切换地址位置</v>
      </c>
      <c r="L482" s="65" t="str">
        <f>IFERROR(__xludf.DUMMYFUNCTION("GOOGLETRANSLATE(B482,""en"",""es"")"),"Mantenga pulsado y mueva para cambiar la posición de dirección")</f>
        <v>Mantenga pulsado y mueva para cambiar la posición de dirección</v>
      </c>
      <c r="M482" s="64" t="str">
        <f>IFERROR(__xludf.DUMMYFUNCTION("GOOGLETRANSLATE(B482,""en"",""iw"")"),"לחץ לחיצה ארוכה והזז עבור מיקום כתובת מתג")</f>
        <v>לחץ לחיצה ארוכה והזז עבור מיקום כתובת מתג</v>
      </c>
      <c r="N482" s="65" t="str">
        <f>IFERROR(__xludf.DUMMYFUNCTION("GOOGLETRANSLATE(B482,""en"",""bn"")"),"দীর্ঘক্ষণ টিপুন এবং সুইচ ঠিকানা অবস্থানের জন্য সরান")</f>
        <v>দীর্ঘক্ষণ টিপুন এবং সুইচ ঠিকানা অবস্থানের জন্য সরান</v>
      </c>
      <c r="O482" s="4" t="str">
        <f>IFERROR(__xludf.DUMMYFUNCTION("GOOGLETRANSLATE(B482,""en"",""pt"")"),"Pressione e segure e mova para mudar a posição do endereço")</f>
        <v>Pressione e segure e mova para mudar a posição do endereço</v>
      </c>
    </row>
    <row r="483">
      <c r="A483" s="66" t="s">
        <v>1183</v>
      </c>
      <c r="B483" s="67" t="s">
        <v>1184</v>
      </c>
      <c r="C483" s="64" t="str">
        <f>IFERROR(__xludf.DUMMYFUNCTION("GOOGLETRANSLATE(B483,""en"",""hi"")"),"नेविगेशन के लिए पता चुनें")</f>
        <v>नेविगेशन के लिए पता चुनें</v>
      </c>
      <c r="D483" s="65" t="str">
        <f>IFERROR(__xludf.DUMMYFUNCTION("GOOGLETRANSLATE(B483,""en"",""ar"")"),"اختر عنوانًا للملاحة")</f>
        <v>اختر عنوانًا للملاحة</v>
      </c>
      <c r="E483" s="65" t="str">
        <f>IFERROR(__xludf.DUMMYFUNCTION("GOOGLETRANSLATE(B483,""en"",""fr"")"),"Choisissez l'adresse pour la navigation")</f>
        <v>Choisissez l'adresse pour la navigation</v>
      </c>
      <c r="F483" s="65" t="str">
        <f>IFERROR(__xludf.DUMMYFUNCTION("GOOGLETRANSLATE(B483,""en"",""tr"")"),"Navigasyon için Adres Seçin")</f>
        <v>Navigasyon için Adres Seçin</v>
      </c>
      <c r="G483" s="65" t="str">
        <f>IFERROR(__xludf.DUMMYFUNCTION("GOOGLETRANSLATE(B483,""en"",""ru"")"),"Выберите адрес для навигации")</f>
        <v>Выберите адрес для навигации</v>
      </c>
      <c r="H483" s="65" t="str">
        <f>IFERROR(__xludf.DUMMYFUNCTION("GOOGLETRANSLATE(B483,""en"",""it"")"),"Scegli l'indirizzo per la navigazione")</f>
        <v>Scegli l'indirizzo per la navigazione</v>
      </c>
      <c r="I483" s="65" t="str">
        <f>IFERROR(__xludf.DUMMYFUNCTION("GOOGLETRANSLATE(B483,""en"",""de"")"),"Wählen Sie eine Adresse für die Navigation")</f>
        <v>Wählen Sie eine Adresse für die Navigation</v>
      </c>
      <c r="J483" s="65" t="str">
        <f>IFERROR(__xludf.DUMMYFUNCTION("GOOGLETRANSLATE(B483,""en"",""ko"")"),"탐색을 위한 주소 선택")</f>
        <v>탐색을 위한 주소 선택</v>
      </c>
      <c r="K483" s="65" t="str">
        <f>IFERROR(__xludf.DUMMYFUNCTION("GOOGLETRANSLATE(B483,""en"",""zh"")"),"选择导航地址")</f>
        <v>选择导航地址</v>
      </c>
      <c r="L483" s="65" t="str">
        <f>IFERROR(__xludf.DUMMYFUNCTION("GOOGLETRANSLATE(B483,""en"",""es"")"),"Elija una dirección para navegar")</f>
        <v>Elija una dirección para navegar</v>
      </c>
      <c r="M483" s="64" t="str">
        <f>IFERROR(__xludf.DUMMYFUNCTION("GOOGLETRANSLATE(B483,""en"",""iw"")"),"בחר כתובת לניווט")</f>
        <v>בחר כתובת לניווט</v>
      </c>
      <c r="N483" s="65" t="str">
        <f>IFERROR(__xludf.DUMMYFUNCTION("GOOGLETRANSLATE(B483,""en"",""bn"")"),"নেভিগেশন জন্য ঠিকানা নির্বাচন করুন")</f>
        <v>নেভিগেশন জন্য ঠিকানা নির্বাচন করুন</v>
      </c>
      <c r="O483" s="4" t="str">
        <f>IFERROR(__xludf.DUMMYFUNCTION("GOOGLETRANSLATE(B483,""en"",""pt"")"),"Escolha o endereço para navegação")</f>
        <v>Escolha o endereço para navegação</v>
      </c>
    </row>
    <row r="484">
      <c r="A484" s="66" t="s">
        <v>1185</v>
      </c>
      <c r="B484" s="67" t="s">
        <v>1186</v>
      </c>
      <c r="C484" s="64" t="str">
        <f>IFERROR(__xludf.DUMMYFUNCTION("GOOGLETRANSLATE(B484,""en"",""hi"")"),"हस्ताक्षर")</f>
        <v>हस्ताक्षर</v>
      </c>
      <c r="D484" s="65" t="str">
        <f>IFERROR(__xludf.DUMMYFUNCTION("GOOGLETRANSLATE(B484,""en"",""ar"")"),"إمضاء")</f>
        <v>إمضاء</v>
      </c>
      <c r="E484" s="65" t="str">
        <f>IFERROR(__xludf.DUMMYFUNCTION("GOOGLETRANSLATE(B484,""en"",""fr"")"),"Signature")</f>
        <v>Signature</v>
      </c>
      <c r="F484" s="65" t="str">
        <f>IFERROR(__xludf.DUMMYFUNCTION("GOOGLETRANSLATE(B484,""en"",""tr"")"),"İmza")</f>
        <v>İmza</v>
      </c>
      <c r="G484" s="65" t="str">
        <f>IFERROR(__xludf.DUMMYFUNCTION("GOOGLETRANSLATE(B484,""en"",""ru"")"),"Подпись")</f>
        <v>Подпись</v>
      </c>
      <c r="H484" s="65" t="str">
        <f>IFERROR(__xludf.DUMMYFUNCTION("GOOGLETRANSLATE(B484,""en"",""it"")"),"Firma")</f>
        <v>Firma</v>
      </c>
      <c r="I484" s="65" t="str">
        <f>IFERROR(__xludf.DUMMYFUNCTION("GOOGLETRANSLATE(B484,""en"",""de"")"),"Unterschrift")</f>
        <v>Unterschrift</v>
      </c>
      <c r="J484" s="65" t="str">
        <f>IFERROR(__xludf.DUMMYFUNCTION("GOOGLETRANSLATE(B484,""en"",""ko"")"),"서명")</f>
        <v>서명</v>
      </c>
      <c r="K484" s="65" t="str">
        <f>IFERROR(__xludf.DUMMYFUNCTION("GOOGLETRANSLATE(B484,""en"",""zh"")"),"签名")</f>
        <v>签名</v>
      </c>
      <c r="L484" s="65" t="str">
        <f>IFERROR(__xludf.DUMMYFUNCTION("GOOGLETRANSLATE(B484,""en"",""es"")"),"Firma")</f>
        <v>Firma</v>
      </c>
      <c r="M484" s="64" t="str">
        <f>IFERROR(__xludf.DUMMYFUNCTION("GOOGLETRANSLATE(B484,""en"",""iw"")"),"חֲתִימָה")</f>
        <v>חֲתִימָה</v>
      </c>
      <c r="N484" s="65" t="str">
        <f>IFERROR(__xludf.DUMMYFUNCTION("GOOGLETRANSLATE(B484,""en"",""bn"")"),"স্বাক্ষর")</f>
        <v>স্বাক্ষর</v>
      </c>
      <c r="O484" s="4" t="str">
        <f>IFERROR(__xludf.DUMMYFUNCTION("GOOGLETRANSLATE(B484,""en"",""pt"")"),"Assinatura")</f>
        <v>Assinatura</v>
      </c>
    </row>
    <row r="485">
      <c r="A485" s="66" t="s">
        <v>1187</v>
      </c>
      <c r="B485" s="67" t="s">
        <v>1188</v>
      </c>
      <c r="C485" s="64" t="str">
        <f>IFERROR(__xludf.DUMMYFUNCTION("GOOGLETRANSLATE(B485,""en"",""hi"")"),"पुन: प्रयास करें")</f>
        <v>पुन: प्रयास करें</v>
      </c>
      <c r="D485" s="65" t="str">
        <f>IFERROR(__xludf.DUMMYFUNCTION("GOOGLETRANSLATE(B485,""en"",""ar"")"),"إعادة المحاولة")</f>
        <v>إعادة المحاولة</v>
      </c>
      <c r="E485" s="65" t="str">
        <f>IFERROR(__xludf.DUMMYFUNCTION("GOOGLETRANSLATE(B485,""en"",""fr"")"),"Réessayer")</f>
        <v>Réessayer</v>
      </c>
      <c r="F485" s="65" t="str">
        <f>IFERROR(__xludf.DUMMYFUNCTION("GOOGLETRANSLATE(B485,""en"",""tr"")"),"Tekrar dene")</f>
        <v>Tekrar dene</v>
      </c>
      <c r="G485" s="65" t="str">
        <f>IFERROR(__xludf.DUMMYFUNCTION("GOOGLETRANSLATE(B485,""en"",""ru"")"),"Повторить попытку")</f>
        <v>Повторить попытку</v>
      </c>
      <c r="H485" s="65" t="str">
        <f>IFERROR(__xludf.DUMMYFUNCTION("GOOGLETRANSLATE(B485,""en"",""it"")"),"Riprova")</f>
        <v>Riprova</v>
      </c>
      <c r="I485" s="65" t="str">
        <f>IFERROR(__xludf.DUMMYFUNCTION("GOOGLETRANSLATE(B485,""en"",""de"")"),"Wiederholen")</f>
        <v>Wiederholen</v>
      </c>
      <c r="J485" s="65" t="str">
        <f>IFERROR(__xludf.DUMMYFUNCTION("GOOGLETRANSLATE(B485,""en"",""ko"")"),"다시 해 보다")</f>
        <v>다시 해 보다</v>
      </c>
      <c r="K485" s="65" t="str">
        <f>IFERROR(__xludf.DUMMYFUNCTION("GOOGLETRANSLATE(B485,""en"",""zh"")"),"重试")</f>
        <v>重试</v>
      </c>
      <c r="L485" s="65" t="str">
        <f>IFERROR(__xludf.DUMMYFUNCTION("GOOGLETRANSLATE(B485,""en"",""es"")"),"Rever")</f>
        <v>Rever</v>
      </c>
      <c r="M485" s="64" t="str">
        <f>IFERROR(__xludf.DUMMYFUNCTION("GOOGLETRANSLATE(B485,""en"",""iw"")"),"נסה שוב")</f>
        <v>נסה שוב</v>
      </c>
      <c r="N485" s="65" t="str">
        <f>IFERROR(__xludf.DUMMYFUNCTION("GOOGLETRANSLATE(B485,""en"",""bn"")"),"আবার চেষ্টা করুন")</f>
        <v>আবার চেষ্টা করুন</v>
      </c>
      <c r="O485" s="4" t="str">
        <f>IFERROR(__xludf.DUMMYFUNCTION("GOOGLETRANSLATE(B485,""en"",""pt"")"),"Tentar novamente")</f>
        <v>Tentar novamente</v>
      </c>
    </row>
    <row r="486">
      <c r="A486" s="66" t="s">
        <v>1189</v>
      </c>
      <c r="B486" s="59" t="s">
        <v>1190</v>
      </c>
      <c r="C486" s="64" t="str">
        <f>IFERROR(__xludf.DUMMYFUNCTION("GOOGLETRANSLATE(B486,""en"",""hi"")"),"चयन स्थान की पुष्टि करें")</f>
        <v>चयन स्थान की पुष्टि करें</v>
      </c>
      <c r="D486" s="65" t="str">
        <f>IFERROR(__xludf.DUMMYFUNCTION("GOOGLETRANSLATE(B486,""en"",""ar"")"),"تأكيد اختيار الموقع")</f>
        <v>تأكيد اختيار الموقع</v>
      </c>
      <c r="E486" s="65" t="str">
        <f>IFERROR(__xludf.DUMMYFUNCTION("GOOGLETRANSLATE(B486,""en"",""fr"")"),"Confirmer l'emplacement de prélèvement")</f>
        <v>Confirmer l'emplacement de prélèvement</v>
      </c>
      <c r="F486" s="65" t="str">
        <f>IFERROR(__xludf.DUMMYFUNCTION("GOOGLETRANSLATE(B486,""en"",""tr"")"),"Alma Yerini Onayla")</f>
        <v>Alma Yerini Onayla</v>
      </c>
      <c r="G486" s="65" t="str">
        <f>IFERROR(__xludf.DUMMYFUNCTION("GOOGLETRANSLATE(B486,""en"",""ru"")"),"Подтвердите выбор местоположения")</f>
        <v>Подтвердите выбор местоположения</v>
      </c>
      <c r="H486" s="65" t="str">
        <f>IFERROR(__xludf.DUMMYFUNCTION("GOOGLETRANSLATE(B486,""en"",""it"")"),"Conferma la posizione di prelievo")</f>
        <v>Conferma la posizione di prelievo</v>
      </c>
      <c r="I486" s="65" t="str">
        <f>IFERROR(__xludf.DUMMYFUNCTION("GOOGLETRANSLATE(B486,""en"",""de"")"),"Kommissionierort bestätigen")</f>
        <v>Kommissionierort bestätigen</v>
      </c>
      <c r="J486" s="65" t="str">
        <f>IFERROR(__xludf.DUMMYFUNCTION("GOOGLETRANSLATE(B486,""en"",""ko"")"),"픽업 위치 확인")</f>
        <v>픽업 위치 확인</v>
      </c>
      <c r="K486" s="65" t="str">
        <f>IFERROR(__xludf.DUMMYFUNCTION("GOOGLETRANSLATE(B486,""en"",""zh"")"),"确认取货地点")</f>
        <v>确认取货地点</v>
      </c>
      <c r="L486" s="65" t="str">
        <f>IFERROR(__xludf.DUMMYFUNCTION("GOOGLETRANSLATE(B486,""en"",""es"")"),"Confirmar ubicación de selección")</f>
        <v>Confirmar ubicación de selección</v>
      </c>
      <c r="M486" s="64" t="str">
        <f>IFERROR(__xludf.DUMMYFUNCTION("GOOGLETRANSLATE(B486,""en"",""iw"")"),"אשר את בחירת מיקום")</f>
        <v>אשר את בחירת מיקום</v>
      </c>
      <c r="N486" s="65" t="str">
        <f>IFERROR(__xludf.DUMMYFUNCTION("GOOGLETRANSLATE(B486,""en"",""bn"")"),"পিক অবস্থান নিশ্চিত করুন")</f>
        <v>পিক অবস্থান নিশ্চিত করুন</v>
      </c>
      <c r="O486" s="4" t="str">
        <f>IFERROR(__xludf.DUMMYFUNCTION("GOOGLETRANSLATE(B486,""en"",""pt"")"),"Confirmar local de coleta")</f>
        <v>Confirmar local de coleta</v>
      </c>
    </row>
    <row r="487">
      <c r="A487" s="66" t="s">
        <v>1191</v>
      </c>
      <c r="B487" s="59" t="s">
        <v>1192</v>
      </c>
      <c r="C487" s="64" t="str">
        <f>IFERROR(__xludf.DUMMYFUNCTION("GOOGLETRANSLATE(B487,""en"",""hi"")"),"ड्रॉप स्थान की पुष्टि करें")</f>
        <v>ड्रॉप स्थान की पुष्टि करें</v>
      </c>
      <c r="D487" s="65" t="str">
        <f>IFERROR(__xludf.DUMMYFUNCTION("GOOGLETRANSLATE(B487,""en"",""ar"")"),"تأكيد موقع التسليم")</f>
        <v>تأكيد موقع التسليم</v>
      </c>
      <c r="E487" s="65" t="str">
        <f>IFERROR(__xludf.DUMMYFUNCTION("GOOGLETRANSLATE(B487,""en"",""fr"")"),"Confirmer l'emplacement de dépôt")</f>
        <v>Confirmer l'emplacement de dépôt</v>
      </c>
      <c r="F487" s="65" t="str">
        <f>IFERROR(__xludf.DUMMYFUNCTION("GOOGLETRANSLATE(B487,""en"",""tr"")"),"Bırakma Yerini Onayla")</f>
        <v>Bırakma Yerini Onayla</v>
      </c>
      <c r="G487" s="65" t="str">
        <f>IFERROR(__xludf.DUMMYFUNCTION("GOOGLETRANSLATE(B487,""en"",""ru"")"),"Подтвердите место сброса")</f>
        <v>Подтвердите место сброса</v>
      </c>
      <c r="H487" s="65" t="str">
        <f>IFERROR(__xludf.DUMMYFUNCTION("GOOGLETRANSLATE(B487,""en"",""it"")"),"Conferma il luogo di consegna")</f>
        <v>Conferma il luogo di consegna</v>
      </c>
      <c r="I487" s="65" t="str">
        <f>IFERROR(__xludf.DUMMYFUNCTION("GOOGLETRANSLATE(B487,""en"",""de"")"),"Ablageort bestätigen")</f>
        <v>Ablageort bestätigen</v>
      </c>
      <c r="J487" s="65" t="str">
        <f>IFERROR(__xludf.DUMMYFUNCTION("GOOGLETRANSLATE(B487,""en"",""ko"")"),"드롭 위치 확인")</f>
        <v>드롭 위치 확인</v>
      </c>
      <c r="K487" s="65" t="str">
        <f>IFERROR(__xludf.DUMMYFUNCTION("GOOGLETRANSLATE(B487,""en"",""zh"")"),"确认投放地点")</f>
        <v>确认投放地点</v>
      </c>
      <c r="L487" s="65" t="str">
        <f>IFERROR(__xludf.DUMMYFUNCTION("GOOGLETRANSLATE(B487,""en"",""es"")"),"Confirmar ubicación de entrega")</f>
        <v>Confirmar ubicación de entrega</v>
      </c>
      <c r="M487" s="64" t="str">
        <f>IFERROR(__xludf.DUMMYFUNCTION("GOOGLETRANSLATE(B487,""en"",""iw"")"),"אשר את מיקום ההורדה")</f>
        <v>אשר את מיקום ההורדה</v>
      </c>
      <c r="N487" s="65" t="str">
        <f>IFERROR(__xludf.DUMMYFUNCTION("GOOGLETRANSLATE(B487,""en"",""bn"")"),"ড্রপ অবস্থান নিশ্চিত করুন")</f>
        <v>ড্রপ অবস্থান নিশ্চিত করুন</v>
      </c>
      <c r="O487" s="4" t="str">
        <f>IFERROR(__xludf.DUMMYFUNCTION("GOOGLETRANSLATE(B487,""en"",""pt"")"),"Confirmar local de entrega")</f>
        <v>Confirmar local de entrega</v>
      </c>
    </row>
    <row r="488">
      <c r="A488" s="66" t="s">
        <v>1193</v>
      </c>
      <c r="B488" s="59" t="s">
        <v>1194</v>
      </c>
      <c r="C488" s="64" t="str">
        <f>IFERROR(__xludf.DUMMYFUNCTION("GOOGLETRANSLATE(B488,""en"",""hi"")"),"नए स्थान की पुष्टि करें")</f>
        <v>नए स्थान की पुष्टि करें</v>
      </c>
      <c r="D488" s="65" t="str">
        <f>IFERROR(__xludf.DUMMYFUNCTION("GOOGLETRANSLATE(B488,""en"",""ar"")"),"تأكيد الموقع الجديد")</f>
        <v>تأكيد الموقع الجديد</v>
      </c>
      <c r="E488" s="65" t="str">
        <f>IFERROR(__xludf.DUMMYFUNCTION("GOOGLETRANSLATE(B488,""en"",""fr"")"),"Confirmer le nouvel emplacement")</f>
        <v>Confirmer le nouvel emplacement</v>
      </c>
      <c r="F488" s="65" t="str">
        <f>IFERROR(__xludf.DUMMYFUNCTION("GOOGLETRANSLATE(B488,""en"",""tr"")"),"Yeni Konumu Onayla")</f>
        <v>Yeni Konumu Onayla</v>
      </c>
      <c r="G488" s="65" t="str">
        <f>IFERROR(__xludf.DUMMYFUNCTION("GOOGLETRANSLATE(B488,""en"",""ru"")"),"Подтвердите новое местоположение")</f>
        <v>Подтвердите новое местоположение</v>
      </c>
      <c r="H488" s="65" t="str">
        <f>IFERROR(__xludf.DUMMYFUNCTION("GOOGLETRANSLATE(B488,""en"",""it"")"),"Conferma nuova posizione")</f>
        <v>Conferma nuova posizione</v>
      </c>
      <c r="I488" s="65" t="str">
        <f>IFERROR(__xludf.DUMMYFUNCTION("GOOGLETRANSLATE(B488,""en"",""de"")"),"Neuen Standort bestätigen")</f>
        <v>Neuen Standort bestätigen</v>
      </c>
      <c r="J488" s="65" t="str">
        <f>IFERROR(__xludf.DUMMYFUNCTION("GOOGLETRANSLATE(B488,""en"",""ko"")"),"새로운 위치 확인")</f>
        <v>새로운 위치 확인</v>
      </c>
      <c r="K488" s="65" t="str">
        <f>IFERROR(__xludf.DUMMYFUNCTION("GOOGLETRANSLATE(B488,""en"",""zh"")"),"确认新位置")</f>
        <v>确认新位置</v>
      </c>
      <c r="L488" s="65" t="str">
        <f>IFERROR(__xludf.DUMMYFUNCTION("GOOGLETRANSLATE(B488,""en"",""es"")"),"Confirmar nueva ubicación")</f>
        <v>Confirmar nueva ubicación</v>
      </c>
      <c r="M488" s="64" t="str">
        <f>IFERROR(__xludf.DUMMYFUNCTION("GOOGLETRANSLATE(B488,""en"",""iw"")"),"אשר מיקום חדש")</f>
        <v>אשר מיקום חדש</v>
      </c>
      <c r="N488" s="65" t="str">
        <f>IFERROR(__xludf.DUMMYFUNCTION("GOOGLETRANSLATE(B488,""en"",""bn"")"),"নতুন অবস্থান নিশ্চিত করুন")</f>
        <v>নতুন অবস্থান নিশ্চিত করুন</v>
      </c>
      <c r="O488" s="4" t="str">
        <f>IFERROR(__xludf.DUMMYFUNCTION("GOOGLETRANSLATE(B488,""en"",""pt"")"),"Confirmar nova localização")</f>
        <v>Confirmar nova localização</v>
      </c>
    </row>
    <row r="489">
      <c r="A489" s="66" t="s">
        <v>1195</v>
      </c>
      <c r="B489" s="59" t="s">
        <v>1196</v>
      </c>
      <c r="C489" s="64" t="str">
        <f>IFERROR(__xludf.DUMMYFUNCTION("GOOGLETRANSLATE(B489,""en"",""hi"")"),"प्राप्तकर्ता जानकारी")</f>
        <v>प्राप्तकर्ता जानकारी</v>
      </c>
      <c r="D489" s="65" t="str">
        <f>IFERROR(__xludf.DUMMYFUNCTION("GOOGLETRANSLATE(B489,""en"",""ar"")"),"معلومات المتلقي")</f>
        <v>معلومات المتلقي</v>
      </c>
      <c r="E489" s="65" t="str">
        <f>IFERROR(__xludf.DUMMYFUNCTION("GOOGLETRANSLATE(B489,""en"",""fr"")"),"Informations sur le récepteur")</f>
        <v>Informations sur le récepteur</v>
      </c>
      <c r="F489" s="65" t="str">
        <f>IFERROR(__xludf.DUMMYFUNCTION("GOOGLETRANSLATE(B489,""en"",""tr"")"),"Alıcı Bilgileri")</f>
        <v>Alıcı Bilgileri</v>
      </c>
      <c r="G489" s="65" t="str">
        <f>IFERROR(__xludf.DUMMYFUNCTION("GOOGLETRANSLATE(B489,""en"",""ru"")"),"Информация о приемнике")</f>
        <v>Информация о приемнике</v>
      </c>
      <c r="H489" s="65" t="str">
        <f>IFERROR(__xludf.DUMMYFUNCTION("GOOGLETRANSLATE(B489,""en"",""it"")"),"Informazioni sul ricevitore")</f>
        <v>Informazioni sul ricevitore</v>
      </c>
      <c r="I489" s="65" t="str">
        <f>IFERROR(__xludf.DUMMYFUNCTION("GOOGLETRANSLATE(B489,""en"",""de"")"),"Empfängerinformationen")</f>
        <v>Empfängerinformationen</v>
      </c>
      <c r="J489" s="65" t="str">
        <f>IFERROR(__xludf.DUMMYFUNCTION("GOOGLETRANSLATE(B489,""en"",""ko"")"),"수신기 정보")</f>
        <v>수신기 정보</v>
      </c>
      <c r="K489" s="65" t="str">
        <f>IFERROR(__xludf.DUMMYFUNCTION("GOOGLETRANSLATE(B489,""en"",""zh"")"),"接收者信息")</f>
        <v>接收者信息</v>
      </c>
      <c r="L489" s="65" t="str">
        <f>IFERROR(__xludf.DUMMYFUNCTION("GOOGLETRANSLATE(B489,""en"",""es"")"),"Información del receptor")</f>
        <v>Información del receptor</v>
      </c>
      <c r="M489" s="64" t="str">
        <f>IFERROR(__xludf.DUMMYFUNCTION("GOOGLETRANSLATE(B489,""en"",""iw"")"),"מידע על מקלט")</f>
        <v>מידע על מקלט</v>
      </c>
      <c r="N489" s="65" t="str">
        <f>IFERROR(__xludf.DUMMYFUNCTION("GOOGLETRANSLATE(B489,""en"",""bn"")"),"রিসিভার তথ্য")</f>
        <v>রিসিভার তথ্য</v>
      </c>
      <c r="O489" s="4" t="str">
        <f>IFERROR(__xludf.DUMMYFUNCTION("GOOGLETRANSLATE(B489,""en"",""pt"")"),"Informações do receptor")</f>
        <v>Informações do receptor</v>
      </c>
    </row>
    <row r="490">
      <c r="A490" s="66" t="s">
        <v>1197</v>
      </c>
      <c r="B490" s="59" t="s">
        <v>1053</v>
      </c>
      <c r="C490" s="64" t="str">
        <f>IFERROR(__xludf.DUMMYFUNCTION("GOOGLETRANSLATE(B490,""en"",""hi"")"),"मोबाइल नंबर")</f>
        <v>मोबाइल नंबर</v>
      </c>
      <c r="D490" s="65" t="str">
        <f>IFERROR(__xludf.DUMMYFUNCTION("GOOGLETRANSLATE(B490,""en"",""ar"")"),"رقم الهاتف المحمول")</f>
        <v>رقم الهاتف المحمول</v>
      </c>
      <c r="E490" s="65" t="str">
        <f>IFERROR(__xludf.DUMMYFUNCTION("GOOGLETRANSLATE(B490,""en"",""fr"")"),"Numéro de portable")</f>
        <v>Numéro de portable</v>
      </c>
      <c r="F490" s="65" t="str">
        <f>IFERROR(__xludf.DUMMYFUNCTION("GOOGLETRANSLATE(B490,""en"",""tr"")"),"Cep numarası")</f>
        <v>Cep numarası</v>
      </c>
      <c r="G490" s="65" t="str">
        <f>IFERROR(__xludf.DUMMYFUNCTION("GOOGLETRANSLATE(B490,""en"",""ru"")"),"Номер мобильного телефона")</f>
        <v>Номер мобильного телефона</v>
      </c>
      <c r="H490" s="65" t="str">
        <f>IFERROR(__xludf.DUMMYFUNCTION("GOOGLETRANSLATE(B490,""en"",""it"")"),"Numero di cellulare")</f>
        <v>Numero di cellulare</v>
      </c>
      <c r="I490" s="65" t="str">
        <f>IFERROR(__xludf.DUMMYFUNCTION("GOOGLETRANSLATE(B490,""en"",""de"")"),"Handynummer")</f>
        <v>Handynummer</v>
      </c>
      <c r="J490" s="65" t="str">
        <f>IFERROR(__xludf.DUMMYFUNCTION("GOOGLETRANSLATE(B490,""en"",""ko"")"),"휴대폰 번호")</f>
        <v>휴대폰 번호</v>
      </c>
      <c r="K490" s="65" t="str">
        <f>IFERROR(__xludf.DUMMYFUNCTION("GOOGLETRANSLATE(B490,""en"",""zh"")"),"手机号码")</f>
        <v>手机号码</v>
      </c>
      <c r="L490" s="65" t="str">
        <f>IFERROR(__xludf.DUMMYFUNCTION("GOOGLETRANSLATE(B490,""en"",""es"")"),"Número de teléfono móvil")</f>
        <v>Número de teléfono móvil</v>
      </c>
      <c r="M490" s="64" t="str">
        <f>IFERROR(__xludf.DUMMYFUNCTION("GOOGLETRANSLATE(B490,""en"",""iw"")"),"מספר נייד")</f>
        <v>מספר נייד</v>
      </c>
      <c r="N490" s="65" t="str">
        <f>IFERROR(__xludf.DUMMYFUNCTION("GOOGLETRANSLATE(B490,""en"",""bn"")"),"মোবাইল নম্বর")</f>
        <v>মোবাইল নম্বর</v>
      </c>
      <c r="O490" s="4" t="str">
        <f>IFERROR(__xludf.DUMMYFUNCTION("GOOGLETRANSLATE(B490,""en"",""pt"")"),"Número de telemóvel")</f>
        <v>Número de telemóvel</v>
      </c>
    </row>
    <row r="491">
      <c r="A491" s="66" t="s">
        <v>1198</v>
      </c>
      <c r="B491" s="59" t="s">
        <v>1199</v>
      </c>
      <c r="C491" s="64" t="str">
        <f>IFERROR(__xludf.DUMMYFUNCTION("GOOGLETRANSLATE(B491,""en"",""hi"")"),"विवरण की पुष्टि करें")</f>
        <v>विवरण की पुष्टि करें</v>
      </c>
      <c r="D491" s="65" t="str">
        <f>IFERROR(__xludf.DUMMYFUNCTION("GOOGLETRANSLATE(B491,""en"",""ar"")"),"تأكيد التفاصيل")</f>
        <v>تأكيد التفاصيل</v>
      </c>
      <c r="E491" s="65" t="str">
        <f>IFERROR(__xludf.DUMMYFUNCTION("GOOGLETRANSLATE(B491,""en"",""fr"")"),"Confirmer les détails")</f>
        <v>Confirmer les détails</v>
      </c>
      <c r="F491" s="65" t="str">
        <f>IFERROR(__xludf.DUMMYFUNCTION("GOOGLETRANSLATE(B491,""en"",""tr"")"),"Ayrıntıları Onayla")</f>
        <v>Ayrıntıları Onayla</v>
      </c>
      <c r="G491" s="65" t="str">
        <f>IFERROR(__xludf.DUMMYFUNCTION("GOOGLETRANSLATE(B491,""en"",""ru"")"),"Подтвердите детали")</f>
        <v>Подтвердите детали</v>
      </c>
      <c r="H491" s="65" t="str">
        <f>IFERROR(__xludf.DUMMYFUNCTION("GOOGLETRANSLATE(B491,""en"",""it"")"),"Conferma i dettagli")</f>
        <v>Conferma i dettagli</v>
      </c>
      <c r="I491" s="65" t="str">
        <f>IFERROR(__xludf.DUMMYFUNCTION("GOOGLETRANSLATE(B491,""en"",""de"")"),"Details bestätigen")</f>
        <v>Details bestätigen</v>
      </c>
      <c r="J491" s="65" t="str">
        <f>IFERROR(__xludf.DUMMYFUNCTION("GOOGLETRANSLATE(B491,""en"",""ko"")"),"세부 정보 확인")</f>
        <v>세부 정보 확인</v>
      </c>
      <c r="K491" s="65" t="str">
        <f>IFERROR(__xludf.DUMMYFUNCTION("GOOGLETRANSLATE(B491,""en"",""zh"")"),"确认详细信息")</f>
        <v>确认详细信息</v>
      </c>
      <c r="L491" s="65" t="str">
        <f>IFERROR(__xludf.DUMMYFUNCTION("GOOGLETRANSLATE(B491,""en"",""es"")"),"Confirmar detalles")</f>
        <v>Confirmar detalles</v>
      </c>
      <c r="M491" s="64" t="str">
        <f>IFERROR(__xludf.DUMMYFUNCTION("GOOGLETRANSLATE(B491,""en"",""iw"")"),"אשר פרטים")</f>
        <v>אשר פרטים</v>
      </c>
      <c r="N491" s="65" t="str">
        <f>IFERROR(__xludf.DUMMYFUNCTION("GOOGLETRANSLATE(B491,""en"",""bn"")"),"বিস্তারিত নিশ্চিত করুন")</f>
        <v>বিস্তারিত নিশ্চিত করুন</v>
      </c>
      <c r="O491" s="4" t="str">
        <f>IFERROR(__xludf.DUMMYFUNCTION("GOOGLETRANSLATE(B491,""en"",""pt"")"),"Confirmar detalhes")</f>
        <v>Confirmar detalhes</v>
      </c>
    </row>
    <row r="492">
      <c r="A492" s="66" t="s">
        <v>1200</v>
      </c>
      <c r="B492" s="59" t="s">
        <v>1201</v>
      </c>
      <c r="C492" s="64" t="str">
        <f>IFERROR(__xludf.DUMMYFUNCTION("GOOGLETRANSLATE(B492,""en"",""hi"")"),"स्टॉप जोड़ें")</f>
        <v>स्टॉप जोड़ें</v>
      </c>
      <c r="D492" s="65" t="str">
        <f>IFERROR(__xludf.DUMMYFUNCTION("GOOGLETRANSLATE(B492,""en"",""ar"")"),"إضافة توقف")</f>
        <v>إضافة توقف</v>
      </c>
      <c r="E492" s="65" t="str">
        <f>IFERROR(__xludf.DUMMYFUNCTION("GOOGLETRANSLATE(B492,""en"",""fr"")"),"Ajouter un arrêt")</f>
        <v>Ajouter un arrêt</v>
      </c>
      <c r="F492" s="65" t="str">
        <f>IFERROR(__xludf.DUMMYFUNCTION("GOOGLETRANSLATE(B492,""en"",""tr"")"),"Durdurma Ekle")</f>
        <v>Durdurma Ekle</v>
      </c>
      <c r="G492" s="65" t="str">
        <f>IFERROR(__xludf.DUMMYFUNCTION("GOOGLETRANSLATE(B492,""en"",""ru"")"),"Добавить остановку")</f>
        <v>Добавить остановку</v>
      </c>
      <c r="H492" s="65" t="str">
        <f>IFERROR(__xludf.DUMMYFUNCTION("GOOGLETRANSLATE(B492,""en"",""it"")"),"Aggiungi Stop")</f>
        <v>Aggiungi Stop</v>
      </c>
      <c r="I492" s="65" t="str">
        <f>IFERROR(__xludf.DUMMYFUNCTION("GOOGLETRANSLATE(B492,""en"",""de"")"),"Stopp hinzufügen")</f>
        <v>Stopp hinzufügen</v>
      </c>
      <c r="J492" s="65" t="str">
        <f>IFERROR(__xludf.DUMMYFUNCTION("GOOGLETRANSLATE(B492,""en"",""ko"")"),"정류장 추가")</f>
        <v>정류장 추가</v>
      </c>
      <c r="K492" s="65" t="str">
        <f>IFERROR(__xludf.DUMMYFUNCTION("GOOGLETRANSLATE(B492,""en"",""zh"")"),"添加站点")</f>
        <v>添加站点</v>
      </c>
      <c r="L492" s="65" t="str">
        <f>IFERROR(__xludf.DUMMYFUNCTION("GOOGLETRANSLATE(B492,""en"",""es"")"),"Agregar parada")</f>
        <v>Agregar parada</v>
      </c>
      <c r="M492" s="64" t="str">
        <f>IFERROR(__xludf.DUMMYFUNCTION("GOOGLETRANSLATE(B492,""en"",""iw"")"),"הוסף עצור")</f>
        <v>הוסף עצור</v>
      </c>
      <c r="N492" s="65" t="str">
        <f>IFERROR(__xludf.DUMMYFUNCTION("GOOGLETRANSLATE(B492,""en"",""bn"")"),"স্টপ যোগ করুন")</f>
        <v>স্টপ যোগ করুন</v>
      </c>
      <c r="O492" s="4" t="str">
        <f>IFERROR(__xludf.DUMMYFUNCTION("GOOGLETRANSLATE(B492,""en"",""pt"")"),"Adicionar Parada")</f>
        <v>Adicionar Parada</v>
      </c>
    </row>
    <row r="493">
      <c r="A493" s="66" t="s">
        <v>1202</v>
      </c>
      <c r="B493" s="59" t="s">
        <v>1203</v>
      </c>
      <c r="C493" s="64" t="str">
        <f>IFERROR(__xludf.DUMMYFUNCTION("GOOGLETRANSLATE(B493,""en"",""hi"")"),"प्रेषक जानकारी")</f>
        <v>प्रेषक जानकारी</v>
      </c>
      <c r="D493" s="65" t="str">
        <f>IFERROR(__xludf.DUMMYFUNCTION("GOOGLETRANSLATE(B493,""en"",""ar"")"),"معلومات المرسل")</f>
        <v>معلومات المرسل</v>
      </c>
      <c r="E493" s="65" t="str">
        <f>IFERROR(__xludf.DUMMYFUNCTION("GOOGLETRANSLATE(B493,""en"",""fr"")"),"Informations sur l'expéditeur")</f>
        <v>Informations sur l'expéditeur</v>
      </c>
      <c r="F493" s="65" t="str">
        <f>IFERROR(__xludf.DUMMYFUNCTION("GOOGLETRANSLATE(B493,""en"",""tr"")"),"Gönderen Bilgileri")</f>
        <v>Gönderen Bilgileri</v>
      </c>
      <c r="G493" s="65" t="str">
        <f>IFERROR(__xludf.DUMMYFUNCTION("GOOGLETRANSLATE(B493,""en"",""ru"")"),"Информация об отправителе")</f>
        <v>Информация об отправителе</v>
      </c>
      <c r="H493" s="65" t="str">
        <f>IFERROR(__xludf.DUMMYFUNCTION("GOOGLETRANSLATE(B493,""en"",""it"")"),"Informazioni sul mittente")</f>
        <v>Informazioni sul mittente</v>
      </c>
      <c r="I493" s="65" t="str">
        <f>IFERROR(__xludf.DUMMYFUNCTION("GOOGLETRANSLATE(B493,""en"",""de"")"),"Absenderinformationen")</f>
        <v>Absenderinformationen</v>
      </c>
      <c r="J493" s="65" t="str">
        <f>IFERROR(__xludf.DUMMYFUNCTION("GOOGLETRANSLATE(B493,""en"",""ko"")"),"발신자 정보")</f>
        <v>발신자 정보</v>
      </c>
      <c r="K493" s="65" t="str">
        <f>IFERROR(__xludf.DUMMYFUNCTION("GOOGLETRANSLATE(B493,""en"",""zh"")"),"发件人信息")</f>
        <v>发件人信息</v>
      </c>
      <c r="L493" s="65" t="str">
        <f>IFERROR(__xludf.DUMMYFUNCTION("GOOGLETRANSLATE(B493,""en"",""es"")"),"Información del remitente")</f>
        <v>Información del remitente</v>
      </c>
      <c r="M493" s="64" t="str">
        <f>IFERROR(__xludf.DUMMYFUNCTION("GOOGLETRANSLATE(B493,""en"",""iw"")"),"מידע על השולח")</f>
        <v>מידע על השולח</v>
      </c>
      <c r="N493" s="65" t="str">
        <f>IFERROR(__xludf.DUMMYFUNCTION("GOOGLETRANSLATE(B493,""en"",""bn"")"),"প্রেরকের তথ্য")</f>
        <v>প্রেরকের তথ্য</v>
      </c>
      <c r="O493" s="4" t="str">
        <f>IFERROR(__xludf.DUMMYFUNCTION("GOOGLETRANSLATE(B493,""en"",""pt"")"),"Informações do remetente")</f>
        <v>Informações do remetente</v>
      </c>
    </row>
    <row r="494">
      <c r="A494" s="66" t="s">
        <v>1204</v>
      </c>
      <c r="B494" s="59" t="s">
        <v>1205</v>
      </c>
      <c r="C494" s="64" t="str">
        <f>IFERROR(__xludf.DUMMYFUNCTION("GOOGLETRANSLATE(B494,""en"",""hi"")"),"पिकअप संपर्क")</f>
        <v>पिकअप संपर्क</v>
      </c>
      <c r="D494" s="65" t="str">
        <f>IFERROR(__xludf.DUMMYFUNCTION("GOOGLETRANSLATE(B494,""en"",""ar"")"),"جهة الاتصال للاستلام")</f>
        <v>جهة الاتصال للاستلام</v>
      </c>
      <c r="E494" s="65" t="str">
        <f>IFERROR(__xludf.DUMMYFUNCTION("GOOGLETRANSLATE(B494,""en"",""fr"")"),"Contact de ramassage")</f>
        <v>Contact de ramassage</v>
      </c>
      <c r="F494" s="65" t="str">
        <f>IFERROR(__xludf.DUMMYFUNCTION("GOOGLETRANSLATE(B494,""en"",""tr"")"),"Teslim Alma İletişimi")</f>
        <v>Teslim Alma İletişimi</v>
      </c>
      <c r="G494" s="65" t="str">
        <f>IFERROR(__xludf.DUMMYFUNCTION("GOOGLETRANSLATE(B494,""en"",""ru"")"),"Контакт для самовывоза")</f>
        <v>Контакт для самовывоза</v>
      </c>
      <c r="H494" s="65" t="str">
        <f>IFERROR(__xludf.DUMMYFUNCTION("GOOGLETRANSLATE(B494,""en"",""it"")"),"Contatto per il ritiro")</f>
        <v>Contatto per il ritiro</v>
      </c>
      <c r="I494" s="65" t="str">
        <f>IFERROR(__xludf.DUMMYFUNCTION("GOOGLETRANSLATE(B494,""en"",""de"")"),"Abholkontakt")</f>
        <v>Abholkontakt</v>
      </c>
      <c r="J494" s="65" t="str">
        <f>IFERROR(__xludf.DUMMYFUNCTION("GOOGLETRANSLATE(B494,""en"",""ko"")"),"픽업 연락처")</f>
        <v>픽업 연락처</v>
      </c>
      <c r="K494" s="65" t="str">
        <f>IFERROR(__xludf.DUMMYFUNCTION("GOOGLETRANSLATE(B494,""en"",""zh"")"),"取货联系方式")</f>
        <v>取货联系方式</v>
      </c>
      <c r="L494" s="65" t="str">
        <f>IFERROR(__xludf.DUMMYFUNCTION("GOOGLETRANSLATE(B494,""en"",""es"")"),"Contacto de recogida")</f>
        <v>Contacto de recogida</v>
      </c>
      <c r="M494" s="64" t="str">
        <f>IFERROR(__xludf.DUMMYFUNCTION("GOOGLETRANSLATE(B494,""en"",""iw"")"),"איש קשר לאיסוף")</f>
        <v>איש קשר לאיסוף</v>
      </c>
      <c r="N494" s="65" t="str">
        <f>IFERROR(__xludf.DUMMYFUNCTION("GOOGLETRANSLATE(B494,""en"",""bn"")"),"পিকআপ যোগাযোগ")</f>
        <v>পিকআপ যোগাযোগ</v>
      </c>
      <c r="O494" s="4" t="str">
        <f>IFERROR(__xludf.DUMMYFUNCTION("GOOGLETRANSLATE(B494,""en"",""pt"")"),"Contato de retirada")</f>
        <v>Contato de retirada</v>
      </c>
    </row>
    <row r="495">
      <c r="A495" s="66" t="s">
        <v>1206</v>
      </c>
      <c r="B495" s="59" t="s">
        <v>1207</v>
      </c>
      <c r="C495" s="64" t="str">
        <f>IFERROR(__xludf.DUMMYFUNCTION("GOOGLETRANSLATE(B495,""en"",""hi"")"),"माल का प्रकार चुनें")</f>
        <v>माल का प्रकार चुनें</v>
      </c>
      <c r="D495" s="65" t="str">
        <f>IFERROR(__xludf.DUMMYFUNCTION("GOOGLETRANSLATE(B495,""en"",""ar"")"),"اختر نوع البضائع")</f>
        <v>اختر نوع البضائع</v>
      </c>
      <c r="E495" s="65" t="str">
        <f>IFERROR(__xludf.DUMMYFUNCTION("GOOGLETRANSLATE(B495,""en"",""fr"")"),"Choisissez le type de marchandise")</f>
        <v>Choisissez le type de marchandise</v>
      </c>
      <c r="F495" s="65" t="str">
        <f>IFERROR(__xludf.DUMMYFUNCTION("GOOGLETRANSLATE(B495,""en"",""tr"")"),"Ürün Tipini Seçin")</f>
        <v>Ürün Tipini Seçin</v>
      </c>
      <c r="G495" s="65" t="str">
        <f>IFERROR(__xludf.DUMMYFUNCTION("GOOGLETRANSLATE(B495,""en"",""ru"")"),"Выберите тип товара")</f>
        <v>Выберите тип товара</v>
      </c>
      <c r="H495" s="65" t="str">
        <f>IFERROR(__xludf.DUMMYFUNCTION("GOOGLETRANSLATE(B495,""en"",""it"")"),"Scegli il tipo di merce")</f>
        <v>Scegli il tipo di merce</v>
      </c>
      <c r="I495" s="65" t="str">
        <f>IFERROR(__xludf.DUMMYFUNCTION("GOOGLETRANSLATE(B495,""en"",""de"")"),"Wählen Sie Warenart")</f>
        <v>Wählen Sie Warenart</v>
      </c>
      <c r="J495" s="65" t="str">
        <f>IFERROR(__xludf.DUMMYFUNCTION("GOOGLETRANSLATE(B495,""en"",""ko"")"),"상품 유형 선택")</f>
        <v>상품 유형 선택</v>
      </c>
      <c r="K495" s="65" t="str">
        <f>IFERROR(__xludf.DUMMYFUNCTION("GOOGLETRANSLATE(B495,""en"",""zh"")"),"选择商品类型")</f>
        <v>选择商品类型</v>
      </c>
      <c r="L495" s="65" t="str">
        <f>IFERROR(__xludf.DUMMYFUNCTION("GOOGLETRANSLATE(B495,""en"",""es"")"),"Elija el tipo de producto")</f>
        <v>Elija el tipo de producto</v>
      </c>
      <c r="M495" s="64" t="str">
        <f>IFERROR(__xludf.DUMMYFUNCTION("GOOGLETRANSLATE(B495,""en"",""iw"")"),"בחר סוג סחורה")</f>
        <v>בחר סוג סחורה</v>
      </c>
      <c r="N495" s="65" t="str">
        <f>IFERROR(__xludf.DUMMYFUNCTION("GOOGLETRANSLATE(B495,""en"",""bn"")"),"পণ্যের ধরন নির্বাচন করুন")</f>
        <v>পণ্যের ধরন নির্বাচন করুন</v>
      </c>
      <c r="O495" s="4" t="str">
        <f>IFERROR(__xludf.DUMMYFUNCTION("GOOGLETRANSLATE(B495,""en"",""pt"")"),"Escolha o tipo de mercadoria")</f>
        <v>Escolha o tipo de mercadoria</v>
      </c>
    </row>
    <row r="496">
      <c r="A496" s="66" t="s">
        <v>1208</v>
      </c>
      <c r="B496" s="59" t="s">
        <v>1209</v>
      </c>
      <c r="C496" s="64" t="str">
        <f>IFERROR(__xludf.DUMMYFUNCTION("GOOGLETRANSLATE(B496,""en"",""hi"")"),"ढीला")</f>
        <v>ढीला</v>
      </c>
      <c r="D496" s="65" t="str">
        <f>IFERROR(__xludf.DUMMYFUNCTION("GOOGLETRANSLATE(B496,""en"",""ar"")"),"مرتخي")</f>
        <v>مرتخي</v>
      </c>
      <c r="E496" s="65" t="str">
        <f>IFERROR(__xludf.DUMMYFUNCTION("GOOGLETRANSLATE(B496,""en"",""fr"")"),"Lâche")</f>
        <v>Lâche</v>
      </c>
      <c r="F496" s="65" t="str">
        <f>IFERROR(__xludf.DUMMYFUNCTION("GOOGLETRANSLATE(B496,""en"",""tr"")"),"Gevşetmek")</f>
        <v>Gevşetmek</v>
      </c>
      <c r="G496" s="65" t="str">
        <f>IFERROR(__xludf.DUMMYFUNCTION("GOOGLETRANSLATE(B496,""en"",""ru"")"),"Свободный")</f>
        <v>Свободный</v>
      </c>
      <c r="H496" s="65" t="str">
        <f>IFERROR(__xludf.DUMMYFUNCTION("GOOGLETRANSLATE(B496,""en"",""it"")"),"Sciolto")</f>
        <v>Sciolto</v>
      </c>
      <c r="I496" s="65" t="str">
        <f>IFERROR(__xludf.DUMMYFUNCTION("GOOGLETRANSLATE(B496,""en"",""de"")"),"Lose")</f>
        <v>Lose</v>
      </c>
      <c r="J496" s="65" t="str">
        <f>IFERROR(__xludf.DUMMYFUNCTION("GOOGLETRANSLATE(B496,""en"",""ko"")"),"헐렁한")</f>
        <v>헐렁한</v>
      </c>
      <c r="K496" s="65" t="str">
        <f>IFERROR(__xludf.DUMMYFUNCTION("GOOGLETRANSLATE(B496,""en"",""zh"")"),"松动的")</f>
        <v>松动的</v>
      </c>
      <c r="L496" s="65" t="str">
        <f>IFERROR(__xludf.DUMMYFUNCTION("GOOGLETRANSLATE(B496,""en"",""es"")"),"Perder")</f>
        <v>Perder</v>
      </c>
      <c r="M496" s="64" t="str">
        <f>IFERROR(__xludf.DUMMYFUNCTION("GOOGLETRANSLATE(B496,""en"",""iw"")"),"מְשׁוּחרָר")</f>
        <v>מְשׁוּחרָר</v>
      </c>
      <c r="N496" s="65" t="str">
        <f>IFERROR(__xludf.DUMMYFUNCTION("GOOGLETRANSLATE(B496,""en"",""bn"")"),"আলগা")</f>
        <v>আলগা</v>
      </c>
      <c r="O496" s="4" t="str">
        <f>IFERROR(__xludf.DUMMYFUNCTION("GOOGLETRANSLATE(B496,""en"",""pt"")"),"Solto")</f>
        <v>Solto</v>
      </c>
    </row>
    <row r="497">
      <c r="A497" s="66" t="s">
        <v>1210</v>
      </c>
      <c r="B497" s="59" t="s">
        <v>1211</v>
      </c>
      <c r="C497" s="64" t="str">
        <f>IFERROR(__xludf.DUMMYFUNCTION("GOOGLETRANSLATE(B497,""en"",""hi"")"),"इकाई के साथ मात्रा")</f>
        <v>इकाई के साथ मात्रा</v>
      </c>
      <c r="D497" s="65" t="str">
        <f>IFERROR(__xludf.DUMMYFUNCTION("GOOGLETRANSLATE(B497,""en"",""ar"")"),"الكمية مع الوحدة")</f>
        <v>الكمية مع الوحدة</v>
      </c>
      <c r="E497" s="65" t="str">
        <f>IFERROR(__xludf.DUMMYFUNCTION("GOOGLETRANSLATE(B497,""en"",""fr"")"),"Quantité avec unité")</f>
        <v>Quantité avec unité</v>
      </c>
      <c r="F497" s="65" t="str">
        <f>IFERROR(__xludf.DUMMYFUNCTION("GOOGLETRANSLATE(B497,""en"",""tr"")"),"Birim başına miktar")</f>
        <v>Birim başına miktar</v>
      </c>
      <c r="G497" s="65" t="str">
        <f>IFERROR(__xludf.DUMMYFUNCTION("GOOGLETRANSLATE(B497,""en"",""ru"")"),"Кол-во с единицей")</f>
        <v>Кол-во с единицей</v>
      </c>
      <c r="H497" s="65" t="str">
        <f>IFERROR(__xludf.DUMMYFUNCTION("GOOGLETRANSLATE(B497,""en"",""it"")"),"Quantità con unità")</f>
        <v>Quantità con unità</v>
      </c>
      <c r="I497" s="65" t="str">
        <f>IFERROR(__xludf.DUMMYFUNCTION("GOOGLETRANSLATE(B497,""en"",""de"")"),"Menge mit Einheit")</f>
        <v>Menge mit Einheit</v>
      </c>
      <c r="J497" s="65" t="str">
        <f>IFERROR(__xludf.DUMMYFUNCTION("GOOGLETRANSLATE(B497,""en"",""ko"")"),"단위별 수량")</f>
        <v>단위별 수량</v>
      </c>
      <c r="K497" s="65" t="str">
        <f>IFERROR(__xludf.DUMMYFUNCTION("GOOGLETRANSLATE(B497,""en"",""zh"")"),"数量及单位")</f>
        <v>数量及单位</v>
      </c>
      <c r="L497" s="65" t="str">
        <f>IFERROR(__xludf.DUMMYFUNCTION("GOOGLETRANSLATE(B497,""en"",""es"")"),"Cantidad con unidad")</f>
        <v>Cantidad con unidad</v>
      </c>
      <c r="M497" s="64" t="str">
        <f>IFERROR(__xludf.DUMMYFUNCTION("GOOGLETRANSLATE(B497,""en"",""iw"")"),"כמות עם יחידה")</f>
        <v>כמות עם יחידה</v>
      </c>
      <c r="N497" s="65" t="str">
        <f>IFERROR(__xludf.DUMMYFUNCTION("GOOGLETRANSLATE(B497,""en"",""bn"")"),"ইউনিট সহ পরিমাণ")</f>
        <v>ইউনিট সহ পরিমাণ</v>
      </c>
      <c r="O497" s="4" t="str">
        <f>IFERROR(__xludf.DUMMYFUNCTION("GOOGLETRANSLATE(B497,""en"",""pt"")"),"Qtd com unidade")</f>
        <v>Qtd com unidade</v>
      </c>
    </row>
    <row r="498">
      <c r="A498" s="66" t="s">
        <v>1212</v>
      </c>
      <c r="B498" s="59" t="s">
        <v>1213</v>
      </c>
      <c r="C498" s="64" t="str">
        <f>IFERROR(__xludf.DUMMYFUNCTION("GOOGLETRANSLATE(B498,""en"",""hi"")"),"माल का प्रकार")</f>
        <v>माल का प्रकार</v>
      </c>
      <c r="D498" s="65" t="str">
        <f>IFERROR(__xludf.DUMMYFUNCTION("GOOGLETRANSLATE(B498,""en"",""ar"")"),"نوع البضائع")</f>
        <v>نوع البضائع</v>
      </c>
      <c r="E498" s="65" t="str">
        <f>IFERROR(__xludf.DUMMYFUNCTION("GOOGLETRANSLATE(B498,""en"",""fr"")"),"Type de marchandises")</f>
        <v>Type de marchandises</v>
      </c>
      <c r="F498" s="65" t="str">
        <f>IFERROR(__xludf.DUMMYFUNCTION("GOOGLETRANSLATE(B498,""en"",""tr"")"),"Mal Türü")</f>
        <v>Mal Türü</v>
      </c>
      <c r="G498" s="65" t="str">
        <f>IFERROR(__xludf.DUMMYFUNCTION("GOOGLETRANSLATE(B498,""en"",""ru"")"),"Тип товара")</f>
        <v>Тип товара</v>
      </c>
      <c r="H498" s="65" t="str">
        <f>IFERROR(__xludf.DUMMYFUNCTION("GOOGLETRANSLATE(B498,""en"",""it"")"),"Tipo di merce")</f>
        <v>Tipo di merce</v>
      </c>
      <c r="I498" s="65" t="str">
        <f>IFERROR(__xludf.DUMMYFUNCTION("GOOGLETRANSLATE(B498,""en"",""de"")"),"Warenart")</f>
        <v>Warenart</v>
      </c>
      <c r="J498" s="65" t="str">
        <f>IFERROR(__xludf.DUMMYFUNCTION("GOOGLETRANSLATE(B498,""en"",""ko"")"),"상품 유형")</f>
        <v>상품 유형</v>
      </c>
      <c r="K498" s="65" t="str">
        <f>IFERROR(__xludf.DUMMYFUNCTION("GOOGLETRANSLATE(B498,""en"",""zh"")"),"商品类型")</f>
        <v>商品类型</v>
      </c>
      <c r="L498" s="65" t="str">
        <f>IFERROR(__xludf.DUMMYFUNCTION("GOOGLETRANSLATE(B498,""en"",""es"")"),"Tipo de mercancía")</f>
        <v>Tipo de mercancía</v>
      </c>
      <c r="M498" s="64" t="str">
        <f>IFERROR(__xludf.DUMMYFUNCTION("GOOGLETRANSLATE(B498,""en"",""iw"")"),"סוג סחורה")</f>
        <v>סוג סחורה</v>
      </c>
      <c r="N498" s="65" t="str">
        <f>IFERROR(__xludf.DUMMYFUNCTION("GOOGLETRANSLATE(B498,""en"",""bn"")"),"পণ্যের ধরন")</f>
        <v>পণ্যের ধরন</v>
      </c>
      <c r="O498" s="4" t="str">
        <f>IFERROR(__xludf.DUMMYFUNCTION("GOOGLETRANSLATE(B498,""en"",""pt"")"),"Tipo de mercadoria")</f>
        <v>Tipo de mercadoria</v>
      </c>
    </row>
    <row r="499">
      <c r="A499" s="66" t="s">
        <v>1214</v>
      </c>
      <c r="B499" s="59" t="s">
        <v>1215</v>
      </c>
      <c r="C499" s="64" t="str">
        <f>IFERROR(__xludf.DUMMYFUNCTION("GOOGLETRANSLATE(B499,""en"",""hi"")"),"अभी सवारी करें")</f>
        <v>अभी सवारी करें</v>
      </c>
      <c r="D499" s="65" t="str">
        <f>IFERROR(__xludf.DUMMYFUNCTION("GOOGLETRANSLATE(B499,""en"",""ar"")"),"ركوب الآن")</f>
        <v>ركوب الآن</v>
      </c>
      <c r="E499" s="65" t="str">
        <f>IFERROR(__xludf.DUMMYFUNCTION("GOOGLETRANSLATE(B499,""en"",""fr"")"),"Roulez maintenant")</f>
        <v>Roulez maintenant</v>
      </c>
      <c r="F499" s="65" t="str">
        <f>IFERROR(__xludf.DUMMYFUNCTION("GOOGLETRANSLATE(B499,""en"",""tr"")"),"Şimdi Sürün")</f>
        <v>Şimdi Sürün</v>
      </c>
      <c r="G499" s="65" t="str">
        <f>IFERROR(__xludf.DUMMYFUNCTION("GOOGLETRANSLATE(B499,""en"",""ru"")"),"Поезжайте сейчас")</f>
        <v>Поезжайте сейчас</v>
      </c>
      <c r="H499" s="65" t="str">
        <f>IFERROR(__xludf.DUMMYFUNCTION("GOOGLETRANSLATE(B499,""en"",""it"")"),"Viaggia ora")</f>
        <v>Viaggia ora</v>
      </c>
      <c r="I499" s="65" t="str">
        <f>IFERROR(__xludf.DUMMYFUNCTION("GOOGLETRANSLATE(B499,""en"",""de"")"),"Jetzt fahren")</f>
        <v>Jetzt fahren</v>
      </c>
      <c r="J499" s="65" t="str">
        <f>IFERROR(__xludf.DUMMYFUNCTION("GOOGLETRANSLATE(B499,""en"",""ko"")"),"지금 타세요")</f>
        <v>지금 타세요</v>
      </c>
      <c r="K499" s="65" t="str">
        <f>IFERROR(__xludf.DUMMYFUNCTION("GOOGLETRANSLATE(B499,""en"",""zh"")"),"立即骑行")</f>
        <v>立即骑行</v>
      </c>
      <c r="L499" s="65" t="str">
        <f>IFERROR(__xludf.DUMMYFUNCTION("GOOGLETRANSLATE(B499,""en"",""es"")"),"Conduce ahora")</f>
        <v>Conduce ahora</v>
      </c>
      <c r="M499" s="64" t="str">
        <f>IFERROR(__xludf.DUMMYFUNCTION("GOOGLETRANSLATE(B499,""en"",""iw"")"),"סע עכשיו")</f>
        <v>סע עכשיו</v>
      </c>
      <c r="N499" s="65" t="str">
        <f>IFERROR(__xludf.DUMMYFUNCTION("GOOGLETRANSLATE(B499,""en"",""bn"")"),"এখন রাইড করুন")</f>
        <v>এখন রাইড করুন</v>
      </c>
      <c r="O499" s="4" t="str">
        <f>IFERROR(__xludf.DUMMYFUNCTION("GOOGLETRANSLATE(B499,""en"",""pt"")"),"Ande agora")</f>
        <v>Ande agora</v>
      </c>
    </row>
    <row r="500">
      <c r="A500" s="66" t="s">
        <v>1216</v>
      </c>
      <c r="B500" s="59" t="s">
        <v>1217</v>
      </c>
      <c r="C500" s="64" t="str">
        <f>IFERROR(__xludf.DUMMYFUNCTION("GOOGLETRANSLATE(B500,""en"",""hi"")"),"बाद के लिए बुक करें")</f>
        <v>बाद के लिए बुक करें</v>
      </c>
      <c r="D500" s="65" t="str">
        <f>IFERROR(__xludf.DUMMYFUNCTION("GOOGLETRANSLATE(B500,""en"",""ar"")"),"كتاب لوقت لاحق")</f>
        <v>كتاب لوقت لاحق</v>
      </c>
      <c r="E500" s="65" t="str">
        <f>IFERROR(__xludf.DUMMYFUNCTION("GOOGLETRANSLATE(B500,""en"",""fr"")"),"Réservez pour plus tard")</f>
        <v>Réservez pour plus tard</v>
      </c>
      <c r="F500" s="65" t="str">
        <f>IFERROR(__xludf.DUMMYFUNCTION("GOOGLETRANSLATE(B500,""en"",""tr"")"),"Sonraya Bırakmak İçin Kitap")</f>
        <v>Sonraya Bırakmak İçin Kitap</v>
      </c>
      <c r="G500" s="65" t="str">
        <f>IFERROR(__xludf.DUMMYFUNCTION("GOOGLETRANSLATE(B500,""en"",""ru"")"),"Забронировать на потом")</f>
        <v>Забронировать на потом</v>
      </c>
      <c r="H500" s="65" t="str">
        <f>IFERROR(__xludf.DUMMYFUNCTION("GOOGLETRANSLATE(B500,""en"",""it"")"),"Prenota per dopo")</f>
        <v>Prenota per dopo</v>
      </c>
      <c r="I500" s="65" t="str">
        <f>IFERROR(__xludf.DUMMYFUNCTION("GOOGLETRANSLATE(B500,""en"",""de"")"),"Für später buchen")</f>
        <v>Für später buchen</v>
      </c>
      <c r="J500" s="65" t="str">
        <f>IFERROR(__xludf.DUMMYFUNCTION("GOOGLETRANSLATE(B500,""en"",""ko"")"),"나중에 예약하세요")</f>
        <v>나중에 예약하세요</v>
      </c>
      <c r="K500" s="65" t="str">
        <f>IFERROR(__xludf.DUMMYFUNCTION("GOOGLETRANSLATE(B500,""en"",""zh"")"),"稍后预订")</f>
        <v>稍后预订</v>
      </c>
      <c r="L500" s="65" t="str">
        <f>IFERROR(__xludf.DUMMYFUNCTION("GOOGLETRANSLATE(B500,""en"",""es"")"),"Reservar para más tarde")</f>
        <v>Reservar para más tarde</v>
      </c>
      <c r="M500" s="64" t="str">
        <f>IFERROR(__xludf.DUMMYFUNCTION("GOOGLETRANSLATE(B500,""en"",""iw"")"),"ספר למועד מאוחר יותר")</f>
        <v>ספר למועד מאוחר יותר</v>
      </c>
      <c r="N500" s="65" t="str">
        <f>IFERROR(__xludf.DUMMYFUNCTION("GOOGLETRANSLATE(B500,""en"",""bn"")"),"পরে জন্য বুক")</f>
        <v>পরে জন্য বুক</v>
      </c>
      <c r="O500" s="4" t="str">
        <f>IFERROR(__xludf.DUMMYFUNCTION("GOOGLETRANSLATE(B500,""en"",""pt"")"),"Reserve para mais tarde")</f>
        <v>Reserve para mais tarde</v>
      </c>
    </row>
    <row r="501">
      <c r="A501" s="66" t="s">
        <v>1218</v>
      </c>
      <c r="B501" s="67" t="s">
        <v>1219</v>
      </c>
      <c r="C501" s="64" t="str">
        <f>IFERROR(__xludf.DUMMYFUNCTION("GOOGLETRANSLATE(B501,""en"",""hi"")"),"शिपमेंट छवि जोड़ने के लिए टैप करें")</f>
        <v>शिपमेंट छवि जोड़ने के लिए टैप करें</v>
      </c>
      <c r="D501" s="65" t="str">
        <f>IFERROR(__xludf.DUMMYFUNCTION("GOOGLETRANSLATE(B501,""en"",""ar"")"),"انقر لإضافة صورة الشحنة")</f>
        <v>انقر لإضافة صورة الشحنة</v>
      </c>
      <c r="E501" s="65" t="str">
        <f>IFERROR(__xludf.DUMMYFUNCTION("GOOGLETRANSLATE(B501,""en"",""fr"")"),"Appuyez pour ajouter une image d'expédition")</f>
        <v>Appuyez pour ajouter une image d'expédition</v>
      </c>
      <c r="F501" s="65" t="str">
        <f>IFERROR(__xludf.DUMMYFUNCTION("GOOGLETRANSLATE(B501,""en"",""tr"")"),"Gönderi Görseli eklemek için dokunun")</f>
        <v>Gönderi Görseli eklemek için dokunun</v>
      </c>
      <c r="G501" s="65" t="str">
        <f>IFERROR(__xludf.DUMMYFUNCTION("GOOGLETRANSLATE(B501,""en"",""ru"")"),"Нажмите, чтобы добавить изображение отправления")</f>
        <v>Нажмите, чтобы добавить изображение отправления</v>
      </c>
      <c r="H501" s="65" t="str">
        <f>IFERROR(__xludf.DUMMYFUNCTION("GOOGLETRANSLATE(B501,""en"",""it"")"),"Tocca per aggiungere l'immagine della spedizione")</f>
        <v>Tocca per aggiungere l'immagine della spedizione</v>
      </c>
      <c r="I501" s="65" t="str">
        <f>IFERROR(__xludf.DUMMYFUNCTION("GOOGLETRANSLATE(B501,""en"",""de"")"),"Tippen, um ein Sendungsbild hinzuzufügen")</f>
        <v>Tippen, um ein Sendungsbild hinzuzufügen</v>
      </c>
      <c r="J501" s="65" t="str">
        <f>IFERROR(__xludf.DUMMYFUNCTION("GOOGLETRANSLATE(B501,""en"",""ko"")"),"배송 이미지를 추가하려면 탭하세요")</f>
        <v>배송 이미지를 추가하려면 탭하세요</v>
      </c>
      <c r="K501" s="65" t="str">
        <f>IFERROR(__xludf.DUMMYFUNCTION("GOOGLETRANSLATE(B501,""en"",""zh"")"),"点击添加货运图片")</f>
        <v>点击添加货运图片</v>
      </c>
      <c r="L501" s="65" t="str">
        <f>IFERROR(__xludf.DUMMYFUNCTION("GOOGLETRANSLATE(B501,""en"",""es"")"),"Toque para agregar imagen de envío")</f>
        <v>Toque para agregar imagen de envío</v>
      </c>
      <c r="M501" s="64" t="str">
        <f>IFERROR(__xludf.DUMMYFUNCTION("GOOGLETRANSLATE(B501,""en"",""iw"")"),"הקש כדי להוסיף תמונת משלוח")</f>
        <v>הקש כדי להוסיף תמונת משלוח</v>
      </c>
      <c r="N501" s="65" t="str">
        <f>IFERROR(__xludf.DUMMYFUNCTION("GOOGLETRANSLATE(B501,""en"",""bn"")"),"চালানের ছবি যোগ করতে আলতো চাপুন")</f>
        <v>চালানের ছবি যোগ করতে আলতো চাপুন</v>
      </c>
      <c r="O501" s="4" t="str">
        <f>IFERROR(__xludf.DUMMYFUNCTION("GOOGLETRANSLATE(B501,""en"",""pt"")"),"Toque para adicionar a imagem da remessa")</f>
        <v>Toque para adicionar a imagem da remessa</v>
      </c>
    </row>
    <row r="502">
      <c r="A502" s="66" t="s">
        <v>1220</v>
      </c>
      <c r="B502" s="67" t="s">
        <v>1221</v>
      </c>
      <c r="C502" s="64" t="str">
        <f>IFERROR(__xludf.DUMMYFUNCTION("GOOGLETRANSLATE(B502,""en"",""hi"")"),"शिपमेंट छवि संपादित करने के लिए टैप करें")</f>
        <v>शिपमेंट छवि संपादित करने के लिए टैप करें</v>
      </c>
      <c r="D502" s="65" t="str">
        <f>IFERROR(__xludf.DUMMYFUNCTION("GOOGLETRANSLATE(B502,""en"",""ar"")"),"انقر لتحرير صورة الشحنة")</f>
        <v>انقر لتحرير صورة الشحنة</v>
      </c>
      <c r="E502" s="65" t="str">
        <f>IFERROR(__xludf.DUMMYFUNCTION("GOOGLETRANSLATE(B502,""en"",""fr"")"),"Appuyez pour modifier l'image de l'expédition")</f>
        <v>Appuyez pour modifier l'image de l'expédition</v>
      </c>
      <c r="F502" s="65" t="str">
        <f>IFERROR(__xludf.DUMMYFUNCTION("GOOGLETRANSLATE(B502,""en"",""tr"")"),"Gönderi Görselini düzenlemek için dokunun")</f>
        <v>Gönderi Görselini düzenlemek için dokunun</v>
      </c>
      <c r="G502" s="65" t="str">
        <f>IFERROR(__xludf.DUMMYFUNCTION("GOOGLETRANSLATE(B502,""en"",""ru"")"),"Нажмите, чтобы изменить изображение отправления")</f>
        <v>Нажмите, чтобы изменить изображение отправления</v>
      </c>
      <c r="H502" s="65" t="str">
        <f>IFERROR(__xludf.DUMMYFUNCTION("GOOGLETRANSLATE(B502,""en"",""it"")"),"Tocca per modificare l'immagine della spedizione")</f>
        <v>Tocca per modificare l'immagine della spedizione</v>
      </c>
      <c r="I502" s="65" t="str">
        <f>IFERROR(__xludf.DUMMYFUNCTION("GOOGLETRANSLATE(B502,""en"",""de"")"),"Tippen, um das Sendungsbild zu bearbeiten")</f>
        <v>Tippen, um das Sendungsbild zu bearbeiten</v>
      </c>
      <c r="J502" s="65" t="str">
        <f>IFERROR(__xludf.DUMMYFUNCTION("GOOGLETRANSLATE(B502,""en"",""ko"")"),"배송 이미지를 편집하려면 탭하세요")</f>
        <v>배송 이미지를 편집하려면 탭하세요</v>
      </c>
      <c r="K502" s="65" t="str">
        <f>IFERROR(__xludf.DUMMYFUNCTION("GOOGLETRANSLATE(B502,""en"",""zh"")"),"点击编辑货件图片")</f>
        <v>点击编辑货件图片</v>
      </c>
      <c r="L502" s="65" t="str">
        <f>IFERROR(__xludf.DUMMYFUNCTION("GOOGLETRANSLATE(B502,""en"",""es"")"),"Toque para editar la imagen del envío")</f>
        <v>Toque para editar la imagen del envío</v>
      </c>
      <c r="M502" s="64" t="str">
        <f>IFERROR(__xludf.DUMMYFUNCTION("GOOGLETRANSLATE(B502,""en"",""iw"")"),"הקש כדי לערוך את תמונת המשלוח")</f>
        <v>הקש כדי לערוך את תמונת המשלוח</v>
      </c>
      <c r="N502" s="65" t="str">
        <f>IFERROR(__xludf.DUMMYFUNCTION("GOOGLETRANSLATE(B502,""en"",""bn"")"),"চালানের ছবি সম্পাদনা করতে আলতো চাপুন৷")</f>
        <v>চালানের ছবি সম্পাদনা করতে আলতো চাপুন৷</v>
      </c>
      <c r="O502" s="4" t="str">
        <f>IFERROR(__xludf.DUMMYFUNCTION("GOOGLETRANSLATE(B502,""en"",""pt"")"),"Toque para editar a imagem da remessa")</f>
        <v>Toque para editar a imagem da remessa</v>
      </c>
    </row>
    <row r="503">
      <c r="A503" s="66" t="s">
        <v>1222</v>
      </c>
      <c r="B503" s="59" t="s">
        <v>1223</v>
      </c>
      <c r="C503" s="64" t="str">
        <f>IFERROR(__xludf.DUMMYFUNCTION("GOOGLETRANSLATE(B503,""en"",""hi"")"),"अनलोड छवि जोड़ने के लिए टैप करें")</f>
        <v>अनलोड छवि जोड़ने के लिए टैप करें</v>
      </c>
      <c r="D503" s="65" t="str">
        <f>IFERROR(__xludf.DUMMYFUNCTION("GOOGLETRANSLATE(B503,""en"",""ar"")"),"انقر لإضافة صورة التفريغ")</f>
        <v>انقر لإضافة صورة التفريغ</v>
      </c>
      <c r="E503" s="65" t="str">
        <f>IFERROR(__xludf.DUMMYFUNCTION("GOOGLETRANSLATE(B503,""en"",""fr"")"),"Appuyez pour ajouter une image de déchargement")</f>
        <v>Appuyez pour ajouter une image de déchargement</v>
      </c>
      <c r="F503" s="65" t="str">
        <f>IFERROR(__xludf.DUMMYFUNCTION("GOOGLETRANSLATE(B503,""en"",""tr"")"),"Görüntüyü Kaldır'ı eklemek için dokunun")</f>
        <v>Görüntüyü Kaldır'ı eklemek için dokunun</v>
      </c>
      <c r="G503" s="65" t="str">
        <f>IFERROR(__xludf.DUMMYFUNCTION("GOOGLETRANSLATE(B503,""en"",""ru"")"),"Нажмите, чтобы добавить Выгрузить изображение")</f>
        <v>Нажмите, чтобы добавить Выгрузить изображение</v>
      </c>
      <c r="H503" s="65" t="str">
        <f>IFERROR(__xludf.DUMMYFUNCTION("GOOGLETRANSLATE(B503,""en"",""it"")"),"Tocca per aggiungere l'immagine di scaricamento")</f>
        <v>Tocca per aggiungere l'immagine di scaricamento</v>
      </c>
      <c r="I503" s="65" t="str">
        <f>IFERROR(__xludf.DUMMYFUNCTION("GOOGLETRANSLATE(B503,""en"",""de"")"),"Tippen, um Entladebild hinzuzufügen")</f>
        <v>Tippen, um Entladebild hinzuzufügen</v>
      </c>
      <c r="J503" s="65" t="str">
        <f>IFERROR(__xludf.DUMMYFUNCTION("GOOGLETRANSLATE(B503,""en"",""ko"")"),"탭하여 언로드 이미지를 추가하세요")</f>
        <v>탭하여 언로드 이미지를 추가하세요</v>
      </c>
      <c r="K503" s="65" t="str">
        <f>IFERROR(__xludf.DUMMYFUNCTION("GOOGLETRANSLATE(B503,""en"",""zh"")"),"点击添加卸载图像")</f>
        <v>点击添加卸载图像</v>
      </c>
      <c r="L503" s="65" t="str">
        <f>IFERROR(__xludf.DUMMYFUNCTION("GOOGLETRANSLATE(B503,""en"",""es"")"),"Toque para agregar Descargar imagen")</f>
        <v>Toque para agregar Descargar imagen</v>
      </c>
      <c r="M503" s="64" t="str">
        <f>IFERROR(__xludf.DUMMYFUNCTION("GOOGLETRANSLATE(B503,""en"",""iw"")"),"הקש כדי להוסיף פריקת תמונה")</f>
        <v>הקש כדי להוסיף פריקת תמונה</v>
      </c>
      <c r="N503" s="65" t="str">
        <f>IFERROR(__xludf.DUMMYFUNCTION("GOOGLETRANSLATE(B503,""en"",""bn"")"),"আনলোড ছবি যোগ করতে আলতো চাপুন")</f>
        <v>আনলোড ছবি যোগ করতে আলতো চাপুন</v>
      </c>
      <c r="O503" s="4" t="str">
        <f>IFERROR(__xludf.DUMMYFUNCTION("GOOGLETRANSLATE(B503,""en"",""pt"")"),"Toque para adicionar Descarregar Imagem")</f>
        <v>Toque para adicionar Descarregar Imagem</v>
      </c>
    </row>
    <row r="504">
      <c r="A504" s="66" t="s">
        <v>1224</v>
      </c>
      <c r="B504" s="59" t="s">
        <v>1225</v>
      </c>
      <c r="C504" s="64" t="str">
        <f>IFERROR(__xludf.DUMMYFUNCTION("GOOGLETRANSLATE(B504,""en"",""hi"")"),"संपादित करने के लिए टैप करें छवि अनलोड करें")</f>
        <v>संपादित करने के लिए टैप करें छवि अनलोड करें</v>
      </c>
      <c r="D504" s="65" t="str">
        <f>IFERROR(__xludf.DUMMYFUNCTION("GOOGLETRANSLATE(B504,""en"",""ar"")"),"انقر لتحرير تفريغ الصورة")</f>
        <v>انقر لتحرير تفريغ الصورة</v>
      </c>
      <c r="E504" s="65" t="str">
        <f>IFERROR(__xludf.DUMMYFUNCTION("GOOGLETRANSLATE(B504,""en"",""fr"")"),"Appuyez pour modifier Décharger l'image")</f>
        <v>Appuyez pour modifier Décharger l'image</v>
      </c>
      <c r="F504" s="65" t="str">
        <f>IFERROR(__xludf.DUMMYFUNCTION("GOOGLETRANSLATE(B504,""en"",""tr"")"),"Düzenlemek için dokunun Resmi Kaldır")</f>
        <v>Düzenlemek için dokunun Resmi Kaldır</v>
      </c>
      <c r="G504" s="65" t="str">
        <f>IFERROR(__xludf.DUMMYFUNCTION("GOOGLETRANSLATE(B504,""en"",""ru"")"),"Нажмите, чтобы редактировать Выгрузить изображение")</f>
        <v>Нажмите, чтобы редактировать Выгрузить изображение</v>
      </c>
      <c r="H504" s="65" t="str">
        <f>IFERROR(__xludf.DUMMYFUNCTION("GOOGLETRANSLATE(B504,""en"",""it"")"),"Tocca per modificare Scarica immagine")</f>
        <v>Tocca per modificare Scarica immagine</v>
      </c>
      <c r="I504" s="65" t="str">
        <f>IFERROR(__xludf.DUMMYFUNCTION("GOOGLETRANSLATE(B504,""en"",""de"")"),"Zum Bearbeiten tippen. Bild entladen")</f>
        <v>Zum Bearbeiten tippen. Bild entladen</v>
      </c>
      <c r="J504" s="65" t="str">
        <f>IFERROR(__xludf.DUMMYFUNCTION("GOOGLETRANSLATE(B504,""en"",""ko"")"),"탭하여 편집하고 이미지 언로드")</f>
        <v>탭하여 편집하고 이미지 언로드</v>
      </c>
      <c r="K504" s="65" t="str">
        <f>IFERROR(__xludf.DUMMYFUNCTION("GOOGLETRANSLATE(B504,""en"",""zh"")"),"点击编辑卸载图像")</f>
        <v>点击编辑卸载图像</v>
      </c>
      <c r="L504" s="65" t="str">
        <f>IFERROR(__xludf.DUMMYFUNCTION("GOOGLETRANSLATE(B504,""en"",""es"")"),"Toque para editar Descargar imagen")</f>
        <v>Toque para editar Descargar imagen</v>
      </c>
      <c r="M504" s="64" t="str">
        <f>IFERROR(__xludf.DUMMYFUNCTION("GOOGLETRANSLATE(B504,""en"",""iw"")"),"הקש כדי לערוך פריק תמונה")</f>
        <v>הקש כדי לערוך פריק תמונה</v>
      </c>
      <c r="N504" s="65" t="str">
        <f>IFERROR(__xludf.DUMMYFUNCTION("GOOGLETRANSLATE(B504,""en"",""bn"")"),"আনলোড চিত্র সম্পাদনা করতে আলতো চাপুন")</f>
        <v>আনলোড চিত্র সম্পাদনা করতে আলতো চাপুন</v>
      </c>
      <c r="O504" s="4" t="str">
        <f>IFERROR(__xludf.DUMMYFUNCTION("GOOGLETRANSLATE(B504,""en"",""pt"")"),"Toque para editar Descarregar imagem")</f>
        <v>Toque para editar Descarregar imagem</v>
      </c>
    </row>
    <row r="505">
      <c r="A505" s="66" t="s">
        <v>1226</v>
      </c>
      <c r="B505" s="59" t="s">
        <v>1227</v>
      </c>
      <c r="C505" s="64" t="str">
        <f>IFERROR(__xludf.DUMMYFUNCTION("GOOGLETRANSLATE(B505,""en"",""hi"")"),"अपलोड करें अनलोड करें सबूत")</f>
        <v>अपलोड करें अनलोड करें सबूत</v>
      </c>
      <c r="D505" s="65" t="str">
        <f>IFERROR(__xludf.DUMMYFUNCTION("GOOGLETRANSLATE(B505,""en"",""ar"")"),"تحميل وتفريغ الدليل")</f>
        <v>تحميل وتفريغ الدليل</v>
      </c>
      <c r="E505" s="65" t="str">
        <f>IFERROR(__xludf.DUMMYFUNCTION("GOOGLETRANSLATE(B505,""en"",""fr"")"),"Télécharger et décharger la preuve")</f>
        <v>Télécharger et décharger la preuve</v>
      </c>
      <c r="F505" s="65" t="str">
        <f>IFERROR(__xludf.DUMMYFUNCTION("GOOGLETRANSLATE(B505,""en"",""tr"")"),"Yükleme Kaldırma Kanıtı")</f>
        <v>Yükleme Kaldırma Kanıtı</v>
      </c>
      <c r="G505" s="65" t="str">
        <f>IFERROR(__xludf.DUMMYFUNCTION("GOOGLETRANSLATE(B505,""en"",""ru"")"),"Загрузить Выгрузить Доказательство")</f>
        <v>Загрузить Выгрузить Доказательство</v>
      </c>
      <c r="H505" s="65" t="str">
        <f>IFERROR(__xludf.DUMMYFUNCTION("GOOGLETRANSLATE(B505,""en"",""it"")"),"Carica Scarica Prova")</f>
        <v>Carica Scarica Prova</v>
      </c>
      <c r="I505" s="65" t="str">
        <f>IFERROR(__xludf.DUMMYFUNCTION("GOOGLETRANSLATE(B505,""en"",""de"")"),"Entladenachweis hochladen")</f>
        <v>Entladenachweis hochladen</v>
      </c>
      <c r="J505" s="65" t="str">
        <f>IFERROR(__xludf.DUMMYFUNCTION("GOOGLETRANSLATE(B505,""en"",""ko"")"),"업로드 언로드 증명")</f>
        <v>업로드 언로드 증명</v>
      </c>
      <c r="K505" s="65" t="str">
        <f>IFERROR(__xludf.DUMMYFUNCTION("GOOGLETRANSLATE(B505,""en"",""zh"")"),"上传卸载证明")</f>
        <v>上传卸载证明</v>
      </c>
      <c r="L505" s="65" t="str">
        <f>IFERROR(__xludf.DUMMYFUNCTION("GOOGLETRANSLATE(B505,""en"",""es"")"),"Cargar Descargar Prueba")</f>
        <v>Cargar Descargar Prueba</v>
      </c>
      <c r="M505" s="64" t="str">
        <f>IFERROR(__xludf.DUMMYFUNCTION("GOOGLETRANSLATE(B505,""en"",""iw"")"),"העלה הוכחה לפרוק")</f>
        <v>העלה הוכחה לפרוק</v>
      </c>
      <c r="N505" s="65" t="str">
        <f>IFERROR(__xludf.DUMMYFUNCTION("GOOGLETRANSLATE(B505,""en"",""bn"")"),"আনলোড প্রুফ আপলোড করুন")</f>
        <v>আনলোড প্রুফ আপলোড করুন</v>
      </c>
      <c r="O505" s="4" t="str">
        <f>IFERROR(__xludf.DUMMYFUNCTION("GOOGLETRANSLATE(B505,""en"",""pt"")"),"Prova de upload e descarregamento")</f>
        <v>Prova de upload e descarregamento</v>
      </c>
    </row>
    <row r="506">
      <c r="A506" s="66" t="s">
        <v>1228</v>
      </c>
      <c r="B506" s="59" t="s">
        <v>1229</v>
      </c>
      <c r="C506" s="64" t="str">
        <f>IFERROR(__xludf.DUMMYFUNCTION("GOOGLETRANSLATE(B506,""en"",""hi"")"),"शिपमेंट प्रमाण अपलोड करें")</f>
        <v>शिपमेंट प्रमाण अपलोड करें</v>
      </c>
      <c r="D506" s="65" t="str">
        <f>IFERROR(__xludf.DUMMYFUNCTION("GOOGLETRANSLATE(B506,""en"",""ar"")"),"تحميل إثبات الشحن")</f>
        <v>تحميل إثبات الشحن</v>
      </c>
      <c r="E506" s="65" t="str">
        <f>IFERROR(__xludf.DUMMYFUNCTION("GOOGLETRANSLATE(B506,""en"",""fr"")"),"Télécharger la preuve d'expédition")</f>
        <v>Télécharger la preuve d'expédition</v>
      </c>
      <c r="F506" s="65" t="str">
        <f>IFERROR(__xludf.DUMMYFUNCTION("GOOGLETRANSLATE(B506,""en"",""tr"")"),"Gönderi Kanıtını Yükle")</f>
        <v>Gönderi Kanıtını Yükle</v>
      </c>
      <c r="G506" s="65" t="str">
        <f>IFERROR(__xludf.DUMMYFUNCTION("GOOGLETRANSLATE(B506,""en"",""ru"")"),"Загрузить подтверждение отправки")</f>
        <v>Загрузить подтверждение отправки</v>
      </c>
      <c r="H506" s="65" t="str">
        <f>IFERROR(__xludf.DUMMYFUNCTION("GOOGLETRANSLATE(B506,""en"",""it"")"),"Carica la prova di spedizione")</f>
        <v>Carica la prova di spedizione</v>
      </c>
      <c r="I506" s="65" t="str">
        <f>IFERROR(__xludf.DUMMYFUNCTION("GOOGLETRANSLATE(B506,""en"",""de"")"),"Versandnachweis hochladen")</f>
        <v>Versandnachweis hochladen</v>
      </c>
      <c r="J506" s="65" t="str">
        <f>IFERROR(__xludf.DUMMYFUNCTION("GOOGLETRANSLATE(B506,""en"",""ko"")"),"배송 증명 업로드")</f>
        <v>배송 증명 업로드</v>
      </c>
      <c r="K506" s="65" t="str">
        <f>IFERROR(__xludf.DUMMYFUNCTION("GOOGLETRANSLATE(B506,""en"",""zh"")"),"上传发货证明")</f>
        <v>上传发货证明</v>
      </c>
      <c r="L506" s="65" t="str">
        <f>IFERROR(__xludf.DUMMYFUNCTION("GOOGLETRANSLATE(B506,""en"",""es"")"),"Cargar comprobante de envío")</f>
        <v>Cargar comprobante de envío</v>
      </c>
      <c r="M506" s="64" t="str">
        <f>IFERROR(__xludf.DUMMYFUNCTION("GOOGLETRANSLATE(B506,""en"",""iw"")"),"העלה הוכחת משלוח")</f>
        <v>העלה הוכחת משלוח</v>
      </c>
      <c r="N506" s="65" t="str">
        <f>IFERROR(__xludf.DUMMYFUNCTION("GOOGLETRANSLATE(B506,""en"",""bn"")"),"চালান প্রমাণ আপলোড করুন")</f>
        <v>চালান প্রমাণ আপলোড করুন</v>
      </c>
      <c r="O506" s="4" t="str">
        <f>IFERROR(__xludf.DUMMYFUNCTION("GOOGLETRANSLATE(B506,""en"",""pt"")"),"Carregar comprovante de envio")</f>
        <v>Carregar comprovante de envio</v>
      </c>
    </row>
    <row r="507">
      <c r="A507" s="68" t="s">
        <v>1230</v>
      </c>
      <c r="B507" s="69" t="s">
        <v>1231</v>
      </c>
      <c r="C507" s="64" t="str">
        <f>IFERROR(__xludf.DUMMYFUNCTION("GOOGLETRANSLATE(B507,""en"",""hi"")"),"मालिक")</f>
        <v>मालिक</v>
      </c>
      <c r="D507" s="65" t="str">
        <f>IFERROR(__xludf.DUMMYFUNCTION("GOOGLETRANSLATE(B507,""en"",""ar"")"),"مالك")</f>
        <v>مالك</v>
      </c>
      <c r="E507" s="65" t="str">
        <f>IFERROR(__xludf.DUMMYFUNCTION("GOOGLETRANSLATE(B507,""en"",""fr"")"),"Propriétaire")</f>
        <v>Propriétaire</v>
      </c>
      <c r="F507" s="65" t="str">
        <f>IFERROR(__xludf.DUMMYFUNCTION("GOOGLETRANSLATE(B507,""en"",""tr"")"),"Mal sahibi")</f>
        <v>Mal sahibi</v>
      </c>
      <c r="G507" s="65" t="str">
        <f>IFERROR(__xludf.DUMMYFUNCTION("GOOGLETRANSLATE(B507,""en"",""ru"")"),"Владелец")</f>
        <v>Владелец</v>
      </c>
      <c r="H507" s="65" t="str">
        <f>IFERROR(__xludf.DUMMYFUNCTION("GOOGLETRANSLATE(B507,""en"",""it"")"),"Proprietario")</f>
        <v>Proprietario</v>
      </c>
      <c r="I507" s="65" t="str">
        <f>IFERROR(__xludf.DUMMYFUNCTION("GOOGLETRANSLATE(B507,""en"",""de"")"),"Eigentümer")</f>
        <v>Eigentümer</v>
      </c>
      <c r="J507" s="65" t="str">
        <f>IFERROR(__xludf.DUMMYFUNCTION("GOOGLETRANSLATE(B507,""en"",""ko"")"),"소유자")</f>
        <v>소유자</v>
      </c>
      <c r="K507" s="65" t="str">
        <f>IFERROR(__xludf.DUMMYFUNCTION("GOOGLETRANSLATE(B507,""en"",""zh"")"),"所有者")</f>
        <v>所有者</v>
      </c>
      <c r="L507" s="65" t="str">
        <f>IFERROR(__xludf.DUMMYFUNCTION("GOOGLETRANSLATE(B507,""en"",""es"")"),"Dueño")</f>
        <v>Dueño</v>
      </c>
      <c r="M507" s="64" t="str">
        <f>IFERROR(__xludf.DUMMYFUNCTION("GOOGLETRANSLATE(B507,""en"",""iw"")"),"בַּעַל")</f>
        <v>בַּעַל</v>
      </c>
      <c r="N507" s="65" t="str">
        <f>IFERROR(__xludf.DUMMYFUNCTION("GOOGLETRANSLATE(B507,""en"",""bn"")"),"মালিক")</f>
        <v>মালিক</v>
      </c>
      <c r="O507" s="4" t="str">
        <f>IFERROR(__xludf.DUMMYFUNCTION("GOOGLETRANSLATE(B507,""en"",""pt"")"),"Proprietário")</f>
        <v>Proprietário</v>
      </c>
    </row>
    <row r="508">
      <c r="A508" s="62" t="s">
        <v>1232</v>
      </c>
      <c r="B508" s="69" t="s">
        <v>1233</v>
      </c>
      <c r="C508" s="64" t="str">
        <f>IFERROR(__xludf.DUMMYFUNCTION("GOOGLETRANSLATE(B508,""en"",""hi"")"),"परिवहन")</f>
        <v>परिवहन</v>
      </c>
      <c r="D508" s="65" t="str">
        <f>IFERROR(__xludf.DUMMYFUNCTION("GOOGLETRANSLATE(B508,""en"",""ar"")"),"ينقل")</f>
        <v>ينقل</v>
      </c>
      <c r="E508" s="65" t="str">
        <f>IFERROR(__xludf.DUMMYFUNCTION("GOOGLETRANSLATE(B508,""en"",""fr"")"),"Transport")</f>
        <v>Transport</v>
      </c>
      <c r="F508" s="65" t="str">
        <f>IFERROR(__xludf.DUMMYFUNCTION("GOOGLETRANSLATE(B508,""en"",""tr"")"),"Taşımacılık")</f>
        <v>Taşımacılık</v>
      </c>
      <c r="G508" s="65" t="str">
        <f>IFERROR(__xludf.DUMMYFUNCTION("GOOGLETRANSLATE(B508,""en"",""ru"")"),"Транспорт")</f>
        <v>Транспорт</v>
      </c>
      <c r="H508" s="65" t="str">
        <f>IFERROR(__xludf.DUMMYFUNCTION("GOOGLETRANSLATE(B508,""en"",""it"")"),"Trasporto")</f>
        <v>Trasporto</v>
      </c>
      <c r="I508" s="65" t="str">
        <f>IFERROR(__xludf.DUMMYFUNCTION("GOOGLETRANSLATE(B508,""en"",""de"")"),"Transport")</f>
        <v>Transport</v>
      </c>
      <c r="J508" s="65" t="str">
        <f>IFERROR(__xludf.DUMMYFUNCTION("GOOGLETRANSLATE(B508,""en"",""ko"")"),"수송")</f>
        <v>수송</v>
      </c>
      <c r="K508" s="65" t="str">
        <f>IFERROR(__xludf.DUMMYFUNCTION("GOOGLETRANSLATE(B508,""en"",""zh"")"),"运输")</f>
        <v>运输</v>
      </c>
      <c r="L508" s="65" t="str">
        <f>IFERROR(__xludf.DUMMYFUNCTION("GOOGLETRANSLATE(B508,""en"",""es"")"),"Transporte")</f>
        <v>Transporte</v>
      </c>
      <c r="M508" s="64" t="str">
        <f>IFERROR(__xludf.DUMMYFUNCTION("GOOGLETRANSLATE(B508,""en"",""iw"")"),"תַחְבּוּרָה")</f>
        <v>תַחְבּוּרָה</v>
      </c>
      <c r="N508" s="65" t="str">
        <f>IFERROR(__xludf.DUMMYFUNCTION("GOOGLETRANSLATE(B508,""en"",""bn"")"),"পরিবহন")</f>
        <v>পরিবহন</v>
      </c>
      <c r="O508" s="4" t="str">
        <f>IFERROR(__xludf.DUMMYFUNCTION("GOOGLETRANSLATE(B508,""en"",""pt"")"),"Transporte")</f>
        <v>Transporte</v>
      </c>
    </row>
    <row r="509">
      <c r="A509" s="70" t="s">
        <v>1234</v>
      </c>
      <c r="B509" s="69" t="s">
        <v>1235</v>
      </c>
      <c r="C509" s="64" t="str">
        <f>IFERROR(__xludf.DUMMYFUNCTION("GOOGLETRANSLATE(B509,""en"",""hi"")"),"वितरण")</f>
        <v>वितरण</v>
      </c>
      <c r="D509" s="65" t="str">
        <f>IFERROR(__xludf.DUMMYFUNCTION("GOOGLETRANSLATE(B509,""en"",""ar"")"),"توصيل")</f>
        <v>توصيل</v>
      </c>
      <c r="E509" s="65" t="str">
        <f>IFERROR(__xludf.DUMMYFUNCTION("GOOGLETRANSLATE(B509,""en"",""fr"")"),"Livraison")</f>
        <v>Livraison</v>
      </c>
      <c r="F509" s="65" t="str">
        <f>IFERROR(__xludf.DUMMYFUNCTION("GOOGLETRANSLATE(B509,""en"",""tr"")"),"Teslimat")</f>
        <v>Teslimat</v>
      </c>
      <c r="G509" s="65" t="str">
        <f>IFERROR(__xludf.DUMMYFUNCTION("GOOGLETRANSLATE(B509,""en"",""ru"")"),"Доставка")</f>
        <v>Доставка</v>
      </c>
      <c r="H509" s="65" t="str">
        <f>IFERROR(__xludf.DUMMYFUNCTION("GOOGLETRANSLATE(B509,""en"",""it"")"),"Consegna")</f>
        <v>Consegna</v>
      </c>
      <c r="I509" s="65" t="str">
        <f>IFERROR(__xludf.DUMMYFUNCTION("GOOGLETRANSLATE(B509,""en"",""de"")"),"Lieferung")</f>
        <v>Lieferung</v>
      </c>
      <c r="J509" s="65" t="str">
        <f>IFERROR(__xludf.DUMMYFUNCTION("GOOGLETRANSLATE(B509,""en"",""ko"")"),"배달")</f>
        <v>배달</v>
      </c>
      <c r="K509" s="65" t="str">
        <f>IFERROR(__xludf.DUMMYFUNCTION("GOOGLETRANSLATE(B509,""en"",""zh"")"),"送货")</f>
        <v>送货</v>
      </c>
      <c r="L509" s="65" t="str">
        <f>IFERROR(__xludf.DUMMYFUNCTION("GOOGLETRANSLATE(B509,""en"",""es"")"),"Entrega")</f>
        <v>Entrega</v>
      </c>
      <c r="M509" s="64" t="str">
        <f>IFERROR(__xludf.DUMMYFUNCTION("GOOGLETRANSLATE(B509,""en"",""iw"")"),"מְסִירָה")</f>
        <v>מְסִירָה</v>
      </c>
      <c r="N509" s="65" t="str">
        <f>IFERROR(__xludf.DUMMYFUNCTION("GOOGLETRANSLATE(B509,""en"",""bn"")"),"ডেলিভারি")</f>
        <v>ডেলিভারি</v>
      </c>
      <c r="O509" s="4" t="str">
        <f>IFERROR(__xludf.DUMMYFUNCTION("GOOGLETRANSLATE(B509,""en"",""pt"")"),"Entrega")</f>
        <v>Entrega</v>
      </c>
    </row>
    <row r="510">
      <c r="A510" s="57" t="s">
        <v>1236</v>
      </c>
      <c r="B510" s="69" t="s">
        <v>1237</v>
      </c>
      <c r="C510" s="64" t="str">
        <f>IFERROR(__xludf.DUMMYFUNCTION("GOOGLETRANSLATE(B510,""en"",""hi"")"),"भुगतान की प्रतीक्षा में")</f>
        <v>भुगतान की प्रतीक्षा में</v>
      </c>
      <c r="D510" s="65" t="str">
        <f>IFERROR(__xludf.DUMMYFUNCTION("GOOGLETRANSLATE(B510,""en"",""ar"")"),"في انتظار الدفع")</f>
        <v>في انتظار الدفع</v>
      </c>
      <c r="E510" s="65" t="str">
        <f>IFERROR(__xludf.DUMMYFUNCTION("GOOGLETRANSLATE(B510,""en"",""fr"")"),"En attente de paiement")</f>
        <v>En attente de paiement</v>
      </c>
      <c r="F510" s="65" t="str">
        <f>IFERROR(__xludf.DUMMYFUNCTION("GOOGLETRANSLATE(B510,""en"",""tr"")"),"Ödeme Bekleniyor")</f>
        <v>Ödeme Bekleniyor</v>
      </c>
      <c r="G510" s="65" t="str">
        <f>IFERROR(__xludf.DUMMYFUNCTION("GOOGLETRANSLATE(B510,""en"",""ru"")"),"Ожидание оплаты")</f>
        <v>Ожидание оплаты</v>
      </c>
      <c r="H510" s="65" t="str">
        <f>IFERROR(__xludf.DUMMYFUNCTION("GOOGLETRANSLATE(B510,""en"",""it"")"),"In attesa di pagamento")</f>
        <v>In attesa di pagamento</v>
      </c>
      <c r="I510" s="65" t="str">
        <f>IFERROR(__xludf.DUMMYFUNCTION("GOOGLETRANSLATE(B510,""en"",""de"")"),"Warten auf Zahlung")</f>
        <v>Warten auf Zahlung</v>
      </c>
      <c r="J510" s="65" t="str">
        <f>IFERROR(__xludf.DUMMYFUNCTION("GOOGLETRANSLATE(B510,""en"",""ko"")"),"결제 대기 중")</f>
        <v>결제 대기 중</v>
      </c>
      <c r="K510" s="65" t="str">
        <f>IFERROR(__xludf.DUMMYFUNCTION("GOOGLETRANSLATE(B510,""en"",""zh"")"),"等待付款")</f>
        <v>等待付款</v>
      </c>
      <c r="L510" s="65" t="str">
        <f>IFERROR(__xludf.DUMMYFUNCTION("GOOGLETRANSLATE(B510,""en"",""es"")"),"Esperando el pago")</f>
        <v>Esperando el pago</v>
      </c>
      <c r="M510" s="64" t="str">
        <f>IFERROR(__xludf.DUMMYFUNCTION("GOOGLETRANSLATE(B510,""en"",""iw"")"),"מחכה לתשלום")</f>
        <v>מחכה לתשלום</v>
      </c>
      <c r="N510" s="65" t="str">
        <f>IFERROR(__xludf.DUMMYFUNCTION("GOOGLETRANSLATE(B510,""en"",""bn"")"),"পেমেন্টের জন্য অপেক্ষা করছে")</f>
        <v>পেমেন্টের জন্য অপেক্ষা করছে</v>
      </c>
      <c r="O510" s="4" t="str">
        <f>IFERROR(__xludf.DUMMYFUNCTION("GOOGLETRANSLATE(B510,""en"",""pt"")"),"Aguardando pagamento")</f>
        <v>Aguardando pagamento</v>
      </c>
    </row>
    <row r="511">
      <c r="A511" s="71" t="s">
        <v>1238</v>
      </c>
      <c r="B511" s="72" t="s">
        <v>1239</v>
      </c>
      <c r="C511" s="64" t="str">
        <f>IFERROR(__xludf.DUMMYFUNCTION("GOOGLETRANSLATE(B511,""en"",""hi"")"),"जारी रखें")</f>
        <v>जारी रखें</v>
      </c>
      <c r="D511" s="65" t="str">
        <f>IFERROR(__xludf.DUMMYFUNCTION("GOOGLETRANSLATE(B511,""en"",""ar"")"),"استمر مع")</f>
        <v>استمر مع</v>
      </c>
      <c r="E511" s="65" t="str">
        <f>IFERROR(__xludf.DUMMYFUNCTION("GOOGLETRANSLATE(B511,""en"",""fr"")"),"Continuer avec")</f>
        <v>Continuer avec</v>
      </c>
      <c r="F511" s="65" t="str">
        <f>IFERROR(__xludf.DUMMYFUNCTION("GOOGLETRANSLATE(B511,""en"",""tr"")"),"Devam et")</f>
        <v>Devam et</v>
      </c>
      <c r="G511" s="65" t="str">
        <f>IFERROR(__xludf.DUMMYFUNCTION("GOOGLETRANSLATE(B511,""en"",""ru"")"),"Продолжить с")</f>
        <v>Продолжить с</v>
      </c>
      <c r="H511" s="65" t="str">
        <f>IFERROR(__xludf.DUMMYFUNCTION("GOOGLETRANSLATE(B511,""en"",""it"")"),"Continua con")</f>
        <v>Continua con</v>
      </c>
      <c r="I511" s="65" t="str">
        <f>IFERROR(__xludf.DUMMYFUNCTION("GOOGLETRANSLATE(B511,""en"",""de"")"),"Weiter mit")</f>
        <v>Weiter mit</v>
      </c>
      <c r="J511" s="65" t="str">
        <f>IFERROR(__xludf.DUMMYFUNCTION("GOOGLETRANSLATE(B511,""en"",""ko"")"),"계속하기")</f>
        <v>계속하기</v>
      </c>
      <c r="K511" s="65" t="str">
        <f>IFERROR(__xludf.DUMMYFUNCTION("GOOGLETRANSLATE(B511,""en"",""zh"")"),"继续")</f>
        <v>继续</v>
      </c>
      <c r="L511" s="65" t="str">
        <f>IFERROR(__xludf.DUMMYFUNCTION("GOOGLETRANSLATE(B511,""en"",""es"")"),"Continuar con")</f>
        <v>Continuar con</v>
      </c>
      <c r="M511" s="64" t="str">
        <f>IFERROR(__xludf.DUMMYFUNCTION("GOOGLETRANSLATE(B511,""en"",""iw"")"),"המשך עם")</f>
        <v>המשך עם</v>
      </c>
      <c r="N511" s="65" t="str">
        <f>IFERROR(__xludf.DUMMYFUNCTION("GOOGLETRANSLATE(B511,""en"",""bn"")"),"সাথে চালিয়ে যান")</f>
        <v>সাথে চালিয়ে যান</v>
      </c>
      <c r="O511" s="4" t="str">
        <f>IFERROR(__xludf.DUMMYFUNCTION("GOOGLETRANSLATE(B511,""en"",""pt"")"),"Continuar com")</f>
        <v>Continuar com</v>
      </c>
    </row>
    <row r="512">
      <c r="A512" s="73" t="s">
        <v>1240</v>
      </c>
      <c r="B512" s="72" t="s">
        <v>1241</v>
      </c>
      <c r="C512" s="64" t="str">
        <f>IFERROR(__xludf.DUMMYFUNCTION("GOOGLETRANSLATE(B512,""en"",""hi"")"),"यूआरएल पर जाएं")</f>
        <v>यूआरएल पर जाएं</v>
      </c>
      <c r="D512" s="65" t="str">
        <f>IFERROR(__xludf.DUMMYFUNCTION("GOOGLETRANSLATE(B512,""en"",""ar"")"),"انتقل إلى عنوان URL")</f>
        <v>انتقل إلى عنوان URL</v>
      </c>
      <c r="E512" s="65" t="str">
        <f>IFERROR(__xludf.DUMMYFUNCTION("GOOGLETRANSLATE(B512,""en"",""fr"")"),"Aller à l'URL")</f>
        <v>Aller à l'URL</v>
      </c>
      <c r="F512" s="65" t="str">
        <f>IFERROR(__xludf.DUMMYFUNCTION("GOOGLETRANSLATE(B512,""en"",""tr"")"),"URL'ye git")</f>
        <v>URL'ye git</v>
      </c>
      <c r="G512" s="65" t="str">
        <f>IFERROR(__xludf.DUMMYFUNCTION("GOOGLETRANSLATE(B512,""en"",""ru"")"),"Перейти к URL-адресу")</f>
        <v>Перейти к URL-адресу</v>
      </c>
      <c r="H512" s="65" t="str">
        <f>IFERROR(__xludf.DUMMYFUNCTION("GOOGLETRANSLATE(B512,""en"",""it"")"),"Vai all'URL")</f>
        <v>Vai all'URL</v>
      </c>
      <c r="I512" s="65" t="str">
        <f>IFERROR(__xludf.DUMMYFUNCTION("GOOGLETRANSLATE(B512,""en"",""de"")"),"Gehe zu URL")</f>
        <v>Gehe zu URL</v>
      </c>
      <c r="J512" s="65" t="str">
        <f>IFERROR(__xludf.DUMMYFUNCTION("GOOGLETRANSLATE(B512,""en"",""ko"")"),"URL로 이동")</f>
        <v>URL로 이동</v>
      </c>
      <c r="K512" s="65" t="str">
        <f>IFERROR(__xludf.DUMMYFUNCTION("GOOGLETRANSLATE(B512,""en"",""zh"")"),"转到 URL")</f>
        <v>转到 URL</v>
      </c>
      <c r="L512" s="65" t="str">
        <f>IFERROR(__xludf.DUMMYFUNCTION("GOOGLETRANSLATE(B512,""en"",""es"")"),"Ir a URL")</f>
        <v>Ir a URL</v>
      </c>
      <c r="M512" s="64" t="str">
        <f>IFERROR(__xludf.DUMMYFUNCTION("GOOGLETRANSLATE(B512,""en"",""iw"")"),"עבור אל כתובת האתר")</f>
        <v>עבור אל כתובת האתר</v>
      </c>
      <c r="N512" s="65" t="str">
        <f>IFERROR(__xludf.DUMMYFUNCTION("GOOGLETRANSLATE(B512,""en"",""bn"")"),"ইউআরএলে যান")</f>
        <v>ইউআরএলে যান</v>
      </c>
      <c r="O512" s="4" t="str">
        <f>IFERROR(__xludf.DUMMYFUNCTION("GOOGLETRANSLATE(B512,""en"",""pt"")"),"Ir para URL")</f>
        <v>Ir para URL</v>
      </c>
    </row>
    <row r="513">
      <c r="A513" s="73" t="s">
        <v>861</v>
      </c>
      <c r="B513" s="74" t="s">
        <v>862</v>
      </c>
      <c r="C513" s="64" t="str">
        <f>IFERROR(__xludf.DUMMYFUNCTION("GOOGLETRANSLATE(B513,""en"",""hi"")"),"तारीख़ चुनें")</f>
        <v>तारीख़ चुनें</v>
      </c>
      <c r="D513" s="65" t="str">
        <f>IFERROR(__xludf.DUMMYFUNCTION("GOOGLETRANSLATE(B513,""en"",""ar"")"),"حدد التاريخ")</f>
        <v>حدد التاريخ</v>
      </c>
      <c r="E513" s="65" t="str">
        <f>IFERROR(__xludf.DUMMYFUNCTION("GOOGLETRANSLATE(B513,""en"",""fr"")"),"Sélectionnez la date")</f>
        <v>Sélectionnez la date</v>
      </c>
      <c r="F513" s="65" t="str">
        <f>IFERROR(__xludf.DUMMYFUNCTION("GOOGLETRANSLATE(B513,""en"",""tr"")"),"Tarih Seçin")</f>
        <v>Tarih Seçin</v>
      </c>
      <c r="G513" s="65" t="str">
        <f>IFERROR(__xludf.DUMMYFUNCTION("GOOGLETRANSLATE(B513,""en"",""ru"")"),"Выберите дату")</f>
        <v>Выберите дату</v>
      </c>
      <c r="H513" s="65" t="str">
        <f>IFERROR(__xludf.DUMMYFUNCTION("GOOGLETRANSLATE(B513,""en"",""it"")"),"Seleziona la data")</f>
        <v>Seleziona la data</v>
      </c>
      <c r="I513" s="65" t="str">
        <f>IFERROR(__xludf.DUMMYFUNCTION("GOOGLETRANSLATE(B513,""en"",""de"")"),"Datum auswählen")</f>
        <v>Datum auswählen</v>
      </c>
      <c r="J513" s="65" t="str">
        <f>IFERROR(__xludf.DUMMYFUNCTION("GOOGLETRANSLATE(B513,""en"",""ko"")"),"날짜 선택")</f>
        <v>날짜 선택</v>
      </c>
      <c r="K513" s="65" t="str">
        <f>IFERROR(__xludf.DUMMYFUNCTION("GOOGLETRANSLATE(B513,""en"",""zh"")"),"选择日期")</f>
        <v>选择日期</v>
      </c>
      <c r="L513" s="65" t="str">
        <f>IFERROR(__xludf.DUMMYFUNCTION("GOOGLETRANSLATE(B513,""en"",""es"")"),"Seleccionar fecha")</f>
        <v>Seleccionar fecha</v>
      </c>
      <c r="M513" s="64" t="str">
        <f>IFERROR(__xludf.DUMMYFUNCTION("GOOGLETRANSLATE(B513,""en"",""iw"")"),"בחר תאריך")</f>
        <v>בחר תאריך</v>
      </c>
      <c r="N513" s="65" t="str">
        <f>IFERROR(__xludf.DUMMYFUNCTION("GOOGLETRANSLATE(B513,""en"",""bn"")"),"তারিখ নির্বাচন করুন")</f>
        <v>তারিখ নির্বাচন করুন</v>
      </c>
      <c r="O513" s="4" t="str">
        <f>IFERROR(__xludf.DUMMYFUNCTION("GOOGLETRANSLATE(B513,""en"",""pt"")"),"Selecione a data")</f>
        <v>Selecione a data</v>
      </c>
    </row>
    <row r="514">
      <c r="A514" s="71" t="s">
        <v>1242</v>
      </c>
      <c r="B514" s="75" t="s">
        <v>1243</v>
      </c>
      <c r="C514" s="64" t="str">
        <f>IFERROR(__xludf.DUMMYFUNCTION("GOOGLETRANSLATE(B514,""en"",""hi"")"),"पंजीकरण करें")</f>
        <v>पंजीकरण करें</v>
      </c>
      <c r="D514" s="65" t="str">
        <f>IFERROR(__xludf.DUMMYFUNCTION("GOOGLETRANSLATE(B514,""en"",""ar"")"),"سجل للحصول على")</f>
        <v>سجل للحصول على</v>
      </c>
      <c r="E514" s="65" t="str">
        <f>IFERROR(__xludf.DUMMYFUNCTION("GOOGLETRANSLATE(B514,""en"",""fr"")"),"Inscrivez-vous pour")</f>
        <v>Inscrivez-vous pour</v>
      </c>
      <c r="F514" s="65" t="str">
        <f>IFERROR(__xludf.DUMMYFUNCTION("GOOGLETRANSLATE(B514,""en"",""tr"")"),"Kayıt olun")</f>
        <v>Kayıt olun</v>
      </c>
      <c r="G514" s="65" t="str">
        <f>IFERROR(__xludf.DUMMYFUNCTION("GOOGLETRANSLATE(B514,""en"",""ru"")"),"Зарегистрируйтесь для")</f>
        <v>Зарегистрируйтесь для</v>
      </c>
      <c r="H514" s="65" t="str">
        <f>IFERROR(__xludf.DUMMYFUNCTION("GOOGLETRANSLATE(B514,""en"",""it"")"),"Registrati per")</f>
        <v>Registrati per</v>
      </c>
      <c r="I514" s="65" t="str">
        <f>IFERROR(__xludf.DUMMYFUNCTION("GOOGLETRANSLATE(B514,""en"",""de"")"),"Registrieren für")</f>
        <v>Registrieren für</v>
      </c>
      <c r="J514" s="65" t="str">
        <f>IFERROR(__xludf.DUMMYFUNCTION("GOOGLETRANSLATE(B514,""en"",""ko"")"),"등록하세요")</f>
        <v>등록하세요</v>
      </c>
      <c r="K514" s="65" t="str">
        <f>IFERROR(__xludf.DUMMYFUNCTION("GOOGLETRANSLATE(B514,""en"",""zh"")"),"注册")</f>
        <v>注册</v>
      </c>
      <c r="L514" s="65" t="str">
        <f>IFERROR(__xludf.DUMMYFUNCTION("GOOGLETRANSLATE(B514,""en"",""es"")"),"Regístrate para")</f>
        <v>Regístrate para</v>
      </c>
      <c r="M514" s="64" t="str">
        <f>IFERROR(__xludf.DUMMYFUNCTION("GOOGLETRANSLATE(B514,""en"",""iw"")"),"הרשמה ל")</f>
        <v>הרשמה ל</v>
      </c>
      <c r="N514" s="65" t="str">
        <f>IFERROR(__xludf.DUMMYFUNCTION("GOOGLETRANSLATE(B514,""en"",""bn"")"),"জন্য নিবন্ধন করুন")</f>
        <v>জন্য নিবন্ধন করুন</v>
      </c>
      <c r="O514" s="4" t="str">
        <f>IFERROR(__xludf.DUMMYFUNCTION("GOOGLETRANSLATE(B514,""en"",""pt"")"),"Registre-se para")</f>
        <v>Registre-se para</v>
      </c>
    </row>
    <row r="515">
      <c r="A515" s="73" t="s">
        <v>1244</v>
      </c>
      <c r="B515" s="76" t="s">
        <v>1245</v>
      </c>
      <c r="C515" s="64" t="str">
        <f>IFERROR(__xludf.DUMMYFUNCTION("GOOGLETRANSLATE(B515,""en"",""hi"")"),"अनुशंसित किराया")</f>
        <v>अनुशंसित किराया</v>
      </c>
      <c r="D515" s="65" t="str">
        <f>IFERROR(__xludf.DUMMYFUNCTION("GOOGLETRANSLATE(B515,""en"",""ar"")"),"الأجرة الموصى بها")</f>
        <v>الأجرة الموصى بها</v>
      </c>
      <c r="E515" s="65" t="str">
        <f>IFERROR(__xludf.DUMMYFUNCTION("GOOGLETRANSLATE(B515,""en"",""fr"")"),"Tarif recommandé")</f>
        <v>Tarif recommandé</v>
      </c>
      <c r="F515" s="65" t="str">
        <f>IFERROR(__xludf.DUMMYFUNCTION("GOOGLETRANSLATE(B515,""en"",""tr"")"),"Önerilen Ücret")</f>
        <v>Önerilen Ücret</v>
      </c>
      <c r="G515" s="65" t="str">
        <f>IFERROR(__xludf.DUMMYFUNCTION("GOOGLETRANSLATE(B515,""en"",""ru"")"),"Рекомендуемый тариф")</f>
        <v>Рекомендуемый тариф</v>
      </c>
      <c r="H515" s="65" t="str">
        <f>IFERROR(__xludf.DUMMYFUNCTION("GOOGLETRANSLATE(B515,""en"",""it"")"),"Tariffa consigliata")</f>
        <v>Tariffa consigliata</v>
      </c>
      <c r="I515" s="65" t="str">
        <f>IFERROR(__xludf.DUMMYFUNCTION("GOOGLETRANSLATE(B515,""en"",""de"")"),"Empfohlener Tarif")</f>
        <v>Empfohlener Tarif</v>
      </c>
      <c r="J515" s="65" t="str">
        <f>IFERROR(__xludf.DUMMYFUNCTION("GOOGLETRANSLATE(B515,""en"",""ko"")"),"추천 요금")</f>
        <v>추천 요금</v>
      </c>
      <c r="K515" s="65" t="str">
        <f>IFERROR(__xludf.DUMMYFUNCTION("GOOGLETRANSLATE(B515,""en"",""zh"")"),"建议票价")</f>
        <v>建议票价</v>
      </c>
      <c r="L515" s="65" t="str">
        <f>IFERROR(__xludf.DUMMYFUNCTION("GOOGLETRANSLATE(B515,""en"",""es"")"),"Tarifa recomendada")</f>
        <v>Tarifa recomendada</v>
      </c>
      <c r="M515" s="64" t="str">
        <f>IFERROR(__xludf.DUMMYFUNCTION("GOOGLETRANSLATE(B515,""en"",""iw"")"),"תעריף מומלץ")</f>
        <v>תעריף מומלץ</v>
      </c>
      <c r="N515" s="65" t="str">
        <f>IFERROR(__xludf.DUMMYFUNCTION("GOOGLETRANSLATE(B515,""en"",""bn"")"),"প্রস্তাবিত ভাড়া")</f>
        <v>প্রস্তাবিত ভাড়া</v>
      </c>
      <c r="O515" s="4" t="str">
        <f>IFERROR(__xludf.DUMMYFUNCTION("GOOGLETRANSLATE(B515,""en"",""pt"")"),"Tarifa recomendada")</f>
        <v>Tarifa recomendada</v>
      </c>
    </row>
    <row r="516">
      <c r="A516" s="73" t="s">
        <v>1246</v>
      </c>
      <c r="B516" s="74" t="s">
        <v>1247</v>
      </c>
      <c r="C516" s="64" t="str">
        <f>IFERROR(__xludf.DUMMYFUNCTION("GOOGLETRANSLATE(B516,""en"",""hi"")"),"अपना किराया पेश करें")</f>
        <v>अपना किराया पेश करें</v>
      </c>
      <c r="D516" s="65" t="str">
        <f>IFERROR(__xludf.DUMMYFUNCTION("GOOGLETRANSLATE(B516,""en"",""ar"")"),"عرض أجرك")</f>
        <v>عرض أجرك</v>
      </c>
      <c r="E516" s="65" t="str">
        <f>IFERROR(__xludf.DUMMYFUNCTION("GOOGLETRANSLATE(B516,""en"",""fr"")"),"Offrez votre tarif")</f>
        <v>Offrez votre tarif</v>
      </c>
      <c r="F516" s="65" t="str">
        <f>IFERROR(__xludf.DUMMYFUNCTION("GOOGLETRANSLATE(B516,""en"",""tr"")"),"Ücretinizi Teklif Edin")</f>
        <v>Ücretinizi Teklif Edin</v>
      </c>
      <c r="G516" s="65" t="str">
        <f>IFERROR(__xludf.DUMMYFUNCTION("GOOGLETRANSLATE(B516,""en"",""ru"")"),"Предложите свою цену проезда")</f>
        <v>Предложите свою цену проезда</v>
      </c>
      <c r="H516" s="65" t="str">
        <f>IFERROR(__xludf.DUMMYFUNCTION("GOOGLETRANSLATE(B516,""en"",""it"")"),"Offri la tua tariffa")</f>
        <v>Offri la tua tariffa</v>
      </c>
      <c r="I516" s="65" t="str">
        <f>IFERROR(__xludf.DUMMYFUNCTION("GOOGLETRANSLATE(B516,""en"",""de"")"),"Bieten Sie Ihren Tarif an")</f>
        <v>Bieten Sie Ihren Tarif an</v>
      </c>
      <c r="J516" s="65" t="str">
        <f>IFERROR(__xludf.DUMMYFUNCTION("GOOGLETRANSLATE(B516,""en"",""ko"")"),"요금을 제시하세요")</f>
        <v>요금을 제시하세요</v>
      </c>
      <c r="K516" s="65" t="str">
        <f>IFERROR(__xludf.DUMMYFUNCTION("GOOGLETRANSLATE(B516,""en"",""zh"")"),"提供您的票价")</f>
        <v>提供您的票价</v>
      </c>
      <c r="L516" s="65" t="str">
        <f>IFERROR(__xludf.DUMMYFUNCTION("GOOGLETRANSLATE(B516,""en"",""es"")"),"Ofrece tu tarifa")</f>
        <v>Ofrece tu tarifa</v>
      </c>
      <c r="M516" s="64" t="str">
        <f>IFERROR(__xludf.DUMMYFUNCTION("GOOGLETRANSLATE(B516,""en"",""iw"")"),"הצע את דמי הנסיעה שלך")</f>
        <v>הצע את דמי הנסיעה שלך</v>
      </c>
      <c r="N516" s="65" t="str">
        <f>IFERROR(__xludf.DUMMYFUNCTION("GOOGLETRANSLATE(B516,""en"",""bn"")"),"আপনার ভাড়া অফার")</f>
        <v>আপনার ভাড়া অফার</v>
      </c>
      <c r="O516" s="4" t="str">
        <f>IFERROR(__xludf.DUMMYFUNCTION("GOOGLETRANSLATE(B516,""en"",""pt"")"),"Ofereça sua tarifa")</f>
        <v>Ofereça sua tarifa</v>
      </c>
    </row>
    <row r="517">
      <c r="A517" s="77" t="s">
        <v>1248</v>
      </c>
      <c r="B517" s="78" t="s">
        <v>1249</v>
      </c>
      <c r="C517" s="64" t="str">
        <f>IFERROR(__xludf.DUMMYFUNCTION("GOOGLETRANSLATE(B517,""en"",""hi"")"),"प्रस्तावित सवारी किराया")</f>
        <v>प्रस्तावित सवारी किराया</v>
      </c>
      <c r="D517" s="65" t="str">
        <f>IFERROR(__xludf.DUMMYFUNCTION("GOOGLETRANSLATE(B517,""en"",""ar"")"),"أجرة الركوب المعروضة")</f>
        <v>أجرة الركوب المعروضة</v>
      </c>
      <c r="E517" s="65" t="str">
        <f>IFERROR(__xludf.DUMMYFUNCTION("GOOGLETRANSLATE(B517,""en"",""fr"")"),"Tarif de course offert")</f>
        <v>Tarif de course offert</v>
      </c>
      <c r="F517" s="65" t="str">
        <f>IFERROR(__xludf.DUMMYFUNCTION("GOOGLETRANSLATE(B517,""en"",""tr"")"),"Sunulan yolculuk ücreti")</f>
        <v>Sunulan yolculuk ücreti</v>
      </c>
      <c r="G517" s="65" t="str">
        <f>IFERROR(__xludf.DUMMYFUNCTION("GOOGLETRANSLATE(B517,""en"",""ru"")"),"Предлагаемая стоимость проезда")</f>
        <v>Предлагаемая стоимость проезда</v>
      </c>
      <c r="H517" s="65" t="str">
        <f>IFERROR(__xludf.DUMMYFUNCTION("GOOGLETRANSLATE(B517,""en"",""it"")"),"Tariffa di viaggio offerta")</f>
        <v>Tariffa di viaggio offerta</v>
      </c>
      <c r="I517" s="65" t="str">
        <f>IFERROR(__xludf.DUMMYFUNCTION("GOOGLETRANSLATE(B517,""en"",""de"")"),"Angebotener Fahrpreis")</f>
        <v>Angebotener Fahrpreis</v>
      </c>
      <c r="J517" s="65" t="str">
        <f>IFERROR(__xludf.DUMMYFUNCTION("GOOGLETRANSLATE(B517,""en"",""ko"")"),"제공되는 승차 요금")</f>
        <v>제공되는 승차 요금</v>
      </c>
      <c r="K517" s="65" t="str">
        <f>IFERROR(__xludf.DUMMYFUNCTION("GOOGLETRANSLATE(B517,""en"",""zh"")"),"提供的车费")</f>
        <v>提供的车费</v>
      </c>
      <c r="L517" s="65" t="str">
        <f>IFERROR(__xludf.DUMMYFUNCTION("GOOGLETRANSLATE(B517,""en"",""es"")"),"Tarifa de viaje ofrecida")</f>
        <v>Tarifa de viaje ofrecida</v>
      </c>
      <c r="M517" s="64" t="str">
        <f>IFERROR(__xludf.DUMMYFUNCTION("GOOGLETRANSLATE(B517,""en"",""iw"")"),"הוצע תעריף נסיעה")</f>
        <v>הוצע תעריף נסיעה</v>
      </c>
      <c r="N517" s="65" t="str">
        <f>IFERROR(__xludf.DUMMYFUNCTION("GOOGLETRANSLATE(B517,""en"",""bn"")"),"অফার করা রাইড ভাড়া")</f>
        <v>অফার করা রাইড ভাড়া</v>
      </c>
      <c r="O517" s="4" t="str">
        <f>IFERROR(__xludf.DUMMYFUNCTION("GOOGLETRANSLATE(B517,""en"",""pt"")"),"Tarifa de viagem oferecida")</f>
        <v>Tarifa de viagem oferecida</v>
      </c>
    </row>
    <row r="518">
      <c r="A518" s="79" t="s">
        <v>1250</v>
      </c>
      <c r="B518" s="78" t="s">
        <v>1251</v>
      </c>
      <c r="C518" s="64" t="str">
        <f>IFERROR(__xludf.DUMMYFUNCTION("GOOGLETRANSLATE(B518,""en"",""hi"")"),"वर्तमान किराया")</f>
        <v>वर्तमान किराया</v>
      </c>
      <c r="D518" s="65" t="str">
        <f>IFERROR(__xludf.DUMMYFUNCTION("GOOGLETRANSLATE(B518,""en"",""ar"")"),"الأجرة الحالية")</f>
        <v>الأجرة الحالية</v>
      </c>
      <c r="E518" s="65" t="str">
        <f>IFERROR(__xludf.DUMMYFUNCTION("GOOGLETRANSLATE(B518,""en"",""fr"")"),"Tarif actuel")</f>
        <v>Tarif actuel</v>
      </c>
      <c r="F518" s="65" t="str">
        <f>IFERROR(__xludf.DUMMYFUNCTION("GOOGLETRANSLATE(B518,""en"",""tr"")"),"Güncel Ücret")</f>
        <v>Güncel Ücret</v>
      </c>
      <c r="G518" s="65" t="str">
        <f>IFERROR(__xludf.DUMMYFUNCTION("GOOGLETRANSLATE(B518,""en"",""ru"")"),"Текущий тариф")</f>
        <v>Текущий тариф</v>
      </c>
      <c r="H518" s="65" t="str">
        <f>IFERROR(__xludf.DUMMYFUNCTION("GOOGLETRANSLATE(B518,""en"",""it"")"),"Tariffa attuale")</f>
        <v>Tariffa attuale</v>
      </c>
      <c r="I518" s="65" t="str">
        <f>IFERROR(__xludf.DUMMYFUNCTION("GOOGLETRANSLATE(B518,""en"",""de"")"),"Aktueller Tarif")</f>
        <v>Aktueller Tarif</v>
      </c>
      <c r="J518" s="65" t="str">
        <f>IFERROR(__xludf.DUMMYFUNCTION("GOOGLETRANSLATE(B518,""en"",""ko"")"),"현재 요금")</f>
        <v>현재 요금</v>
      </c>
      <c r="K518" s="65" t="str">
        <f>IFERROR(__xludf.DUMMYFUNCTION("GOOGLETRANSLATE(B518,""en"",""zh"")"),"当前票价")</f>
        <v>当前票价</v>
      </c>
      <c r="L518" s="65" t="str">
        <f>IFERROR(__xludf.DUMMYFUNCTION("GOOGLETRANSLATE(B518,""en"",""es"")"),"Tarifa actual")</f>
        <v>Tarifa actual</v>
      </c>
      <c r="M518" s="64" t="str">
        <f>IFERROR(__xludf.DUMMYFUNCTION("GOOGLETRANSLATE(B518,""en"",""iw"")"),"תעריף נוכחי")</f>
        <v>תעריף נוכחי</v>
      </c>
      <c r="N518" s="65" t="str">
        <f>IFERROR(__xludf.DUMMYFUNCTION("GOOGLETRANSLATE(B518,""en"",""bn"")"),"বর্তমান ভাড়া")</f>
        <v>বর্তমান ভাড়া</v>
      </c>
      <c r="O518" s="4" t="str">
        <f>IFERROR(__xludf.DUMMYFUNCTION("GOOGLETRANSLATE(B518,""en"",""pt"")"),"Tarifa atual")</f>
        <v>Tarifa atual</v>
      </c>
    </row>
    <row r="519">
      <c r="A519" s="80" t="s">
        <v>1252</v>
      </c>
      <c r="B519" s="78" t="s">
        <v>1253</v>
      </c>
      <c r="C519" s="64" t="str">
        <f>IFERROR(__xludf.DUMMYFUNCTION("GOOGLETRANSLATE(B519,""en"",""hi"")"),"अद्यतन")</f>
        <v>अद्यतन</v>
      </c>
      <c r="D519" s="65" t="str">
        <f>IFERROR(__xludf.DUMMYFUNCTION("GOOGLETRANSLATE(B519,""en"",""ar"")"),"تحديث")</f>
        <v>تحديث</v>
      </c>
      <c r="E519" s="65" t="str">
        <f>IFERROR(__xludf.DUMMYFUNCTION("GOOGLETRANSLATE(B519,""en"",""fr"")"),"Mise à jour")</f>
        <v>Mise à jour</v>
      </c>
      <c r="F519" s="65" t="str">
        <f>IFERROR(__xludf.DUMMYFUNCTION("GOOGLETRANSLATE(B519,""en"",""tr"")"),"Güncelleme")</f>
        <v>Güncelleme</v>
      </c>
      <c r="G519" s="65" t="str">
        <f>IFERROR(__xludf.DUMMYFUNCTION("GOOGLETRANSLATE(B519,""en"",""ru"")"),"Обновлять")</f>
        <v>Обновлять</v>
      </c>
      <c r="H519" s="65" t="str">
        <f>IFERROR(__xludf.DUMMYFUNCTION("GOOGLETRANSLATE(B519,""en"",""it"")"),"Aggiornamento")</f>
        <v>Aggiornamento</v>
      </c>
      <c r="I519" s="65" t="str">
        <f>IFERROR(__xludf.DUMMYFUNCTION("GOOGLETRANSLATE(B519,""en"",""de"")"),"Aktualisieren")</f>
        <v>Aktualisieren</v>
      </c>
      <c r="J519" s="65" t="str">
        <f>IFERROR(__xludf.DUMMYFUNCTION("GOOGLETRANSLATE(B519,""en"",""ko"")"),"업데이트")</f>
        <v>업데이트</v>
      </c>
      <c r="K519" s="65" t="str">
        <f>IFERROR(__xludf.DUMMYFUNCTION("GOOGLETRANSLATE(B519,""en"",""zh"")"),"更新")</f>
        <v>更新</v>
      </c>
      <c r="L519" s="65" t="str">
        <f>IFERROR(__xludf.DUMMYFUNCTION("GOOGLETRANSLATE(B519,""en"",""es"")"),"Actualizar")</f>
        <v>Actualizar</v>
      </c>
      <c r="M519" s="64" t="str">
        <f>IFERROR(__xludf.DUMMYFUNCTION("GOOGLETRANSLATE(B519,""en"",""iw"")"),"לְעַדְכֵּן")</f>
        <v>לְעַדְכֵּן</v>
      </c>
      <c r="N519" s="65" t="str">
        <f>IFERROR(__xludf.DUMMYFUNCTION("GOOGLETRANSLATE(B519,""en"",""bn"")"),"আপডেট")</f>
        <v>আপডেট</v>
      </c>
      <c r="O519" s="4" t="str">
        <f>IFERROR(__xludf.DUMMYFUNCTION("GOOGLETRANSLATE(B519,""en"",""pt"")"),"Atualizar")</f>
        <v>Atualizar</v>
      </c>
    </row>
    <row r="520">
      <c r="A520" s="80" t="s">
        <v>1254</v>
      </c>
      <c r="B520" s="78" t="s">
        <v>1255</v>
      </c>
      <c r="C520" s="64" t="str">
        <f>IFERROR(__xludf.DUMMYFUNCTION("GOOGLETRANSLATE(B520,""en"",""hi"")"),"अब आप ड्यूटी से मुक्त हैं")</f>
        <v>अब आप ड्यूटी से मुक्त हैं</v>
      </c>
      <c r="D520" s="65" t="str">
        <f>IFERROR(__xludf.DUMMYFUNCTION("GOOGLETRANSLATE(B520,""en"",""ar"")"),"أنت خارج الخدمة الآن")</f>
        <v>أنت خارج الخدمة الآن</v>
      </c>
      <c r="E520" s="65" t="str">
        <f>IFERROR(__xludf.DUMMYFUNCTION("GOOGLETRANSLATE(B520,""en"",""fr"")"),"Vous êtes hors service maintenant")</f>
        <v>Vous êtes hors service maintenant</v>
      </c>
      <c r="F520" s="65" t="str">
        <f>IFERROR(__xludf.DUMMYFUNCTION("GOOGLETRANSLATE(B520,""en"",""tr"")"),"Şu anda görevde değilsiniz")</f>
        <v>Şu anda görevde değilsiniz</v>
      </c>
      <c r="G520" s="65" t="str">
        <f>IFERROR(__xludf.DUMMYFUNCTION("GOOGLETRANSLATE(B520,""en"",""ru"")"),"Вы сейчас не на дежурстве.")</f>
        <v>Вы сейчас не на дежурстве.</v>
      </c>
      <c r="H520" s="65" t="str">
        <f>IFERROR(__xludf.DUMMYFUNCTION("GOOGLETRANSLATE(B520,""en"",""it"")"),"Ora sei fuori servizio")</f>
        <v>Ora sei fuori servizio</v>
      </c>
      <c r="I520" s="65" t="str">
        <f>IFERROR(__xludf.DUMMYFUNCTION("GOOGLETRANSLATE(B520,""en"",""de"")"),"Sie haben jetzt dienstfrei")</f>
        <v>Sie haben jetzt dienstfrei</v>
      </c>
      <c r="J520" s="65" t="str">
        <f>IFERROR(__xludf.DUMMYFUNCTION("GOOGLETRANSLATE(B520,""en"",""ko"")"),"당신은 지금 근무 종료입니다")</f>
        <v>당신은 지금 근무 종료입니다</v>
      </c>
      <c r="K520" s="65" t="str">
        <f>IFERROR(__xludf.DUMMYFUNCTION("GOOGLETRANSLATE(B520,""en"",""zh"")"),"您现在下班了")</f>
        <v>您现在下班了</v>
      </c>
      <c r="L520" s="65" t="str">
        <f>IFERROR(__xludf.DUMMYFUNCTION("GOOGLETRANSLATE(B520,""en"",""es"")"),"Estás fuera de servicio ahora")</f>
        <v>Estás fuera de servicio ahora</v>
      </c>
      <c r="M520" s="64" t="str">
        <f>IFERROR(__xludf.DUMMYFUNCTION("GOOGLETRANSLATE(B520,""en"",""iw"")"),"אתה מחוץ לתפקיד עכשיו")</f>
        <v>אתה מחוץ לתפקיד עכשיו</v>
      </c>
      <c r="N520" s="65" t="str">
        <f>IFERROR(__xludf.DUMMYFUNCTION("GOOGLETRANSLATE(B520,""en"",""bn"")"),"তুমি এখন অফ ডিউটি")</f>
        <v>তুমি এখন অফ ডিউটি</v>
      </c>
      <c r="O520" s="4" t="str">
        <f>IFERROR(__xludf.DUMMYFUNCTION("GOOGLETRANSLATE(B520,""en"",""pt"")"),"Você está de folga agora")</f>
        <v>Você está de folga agora</v>
      </c>
    </row>
    <row r="521">
      <c r="A521" s="80" t="s">
        <v>1256</v>
      </c>
      <c r="B521" s="78" t="s">
        <v>1257</v>
      </c>
      <c r="C521" s="64" t="str">
        <f>IFERROR(__xludf.DUMMYFUNCTION("GOOGLETRANSLATE(B521,""en"",""hi"")"),"क्या आप वाकई यात्रा रद्द करना चाहते हैं?")</f>
        <v>क्या आप वाकई यात्रा रद्द करना चाहते हैं?</v>
      </c>
      <c r="D521" s="65" t="str">
        <f>IFERROR(__xludf.DUMMYFUNCTION("GOOGLETRANSLATE(B521,""en"",""ar"")"),"هل أنت متأكد من أنك تريد إلغاء الرحلة؟")</f>
        <v>هل أنت متأكد من أنك تريد إلغاء الرحلة؟</v>
      </c>
      <c r="E521" s="65" t="str">
        <f>IFERROR(__xludf.DUMMYFUNCTION("GOOGLETRANSLATE(B521,""en"",""fr"")"),"Êtes-vous sûr de vouloir annuler le trajet ?")</f>
        <v>Êtes-vous sûr de vouloir annuler le trajet ?</v>
      </c>
      <c r="F521" s="65" t="str">
        <f>IFERROR(__xludf.DUMMYFUNCTION("GOOGLETRANSLATE(B521,""en"",""tr"")"),"Yolculuğu iptal etmek istediğinizden emin misiniz?")</f>
        <v>Yolculuğu iptal etmek istediğinizden emin misiniz?</v>
      </c>
      <c r="G521" s="65" t="str">
        <f>IFERROR(__xludf.DUMMYFUNCTION("GOOGLETRANSLATE(B521,""en"",""ru"")"),"Вы уверены, что хотите отменить поездку?")</f>
        <v>Вы уверены, что хотите отменить поездку?</v>
      </c>
      <c r="H521" s="65" t="str">
        <f>IFERROR(__xludf.DUMMYFUNCTION("GOOGLETRANSLATE(B521,""en"",""it"")"),"Vuoi davvero annullare la corsa?")</f>
        <v>Vuoi davvero annullare la corsa?</v>
      </c>
      <c r="I521" s="65" t="str">
        <f>IFERROR(__xludf.DUMMYFUNCTION("GOOGLETRANSLATE(B521,""en"",""de"")"),"Möchten Sie die Fahrt wirklich stornieren?")</f>
        <v>Möchten Sie die Fahrt wirklich stornieren?</v>
      </c>
      <c r="J521" s="65" t="str">
        <f>IFERROR(__xludf.DUMMYFUNCTION("GOOGLETRANSLATE(B521,""en"",""ko"")"),"정말로 탑승을 취소하시겠습니까?")</f>
        <v>정말로 탑승을 취소하시겠습니까?</v>
      </c>
      <c r="K521" s="65" t="str">
        <f>IFERROR(__xludf.DUMMYFUNCTION("GOOGLETRANSLATE(B521,""en"",""zh"")"),"您确定要取消行程吗？")</f>
        <v>您确定要取消行程吗？</v>
      </c>
      <c r="L521" s="65" t="str">
        <f>IFERROR(__xludf.DUMMYFUNCTION("GOOGLETRANSLATE(B521,""en"",""es"")"),"¿Estás seguro de que deseas cancelar el viaje?")</f>
        <v>¿Estás seguro de que deseas cancelar el viaje?</v>
      </c>
      <c r="M521" s="64" t="str">
        <f>IFERROR(__xludf.DUMMYFUNCTION("GOOGLETRANSLATE(B521,""en"",""iw"")"),"האם אתה בטוח שברצונך לבטל את הנסיעה?")</f>
        <v>האם אתה בטוח שברצונך לבטל את הנסיעה?</v>
      </c>
      <c r="N521" s="65" t="str">
        <f>IFERROR(__xludf.DUMMYFUNCTION("GOOGLETRANSLATE(B521,""en"",""bn"")"),"আপনি কি নিশ্চিত রাইড বাতিল করতে চান?")</f>
        <v>আপনি কি নিশ্চিত রাইড বাতিল করতে চান?</v>
      </c>
      <c r="O521" s="4" t="str">
        <f>IFERROR(__xludf.DUMMYFUNCTION("GOOGLETRANSLATE(B521,""en"",""pt"")"),"Tem certeza de que deseja cancelar a viagem?")</f>
        <v>Tem certeza de que deseja cancelar a viagem?</v>
      </c>
    </row>
    <row r="522">
      <c r="A522" s="80" t="s">
        <v>1258</v>
      </c>
      <c r="B522" s="36" t="s">
        <v>1259</v>
      </c>
      <c r="C522" s="64" t="str">
        <f>IFERROR(__xludf.DUMMYFUNCTION("GOOGLETRANSLATE(B522,""en"",""hi"")"),"सवारी अनुरोध की प्रतीक्षा में")</f>
        <v>सवारी अनुरोध की प्रतीक्षा में</v>
      </c>
      <c r="D522" s="65" t="str">
        <f>IFERROR(__xludf.DUMMYFUNCTION("GOOGLETRANSLATE(B522,""en"",""ar"")"),"في انتظار طلب الركوب")</f>
        <v>في انتظار طلب الركوب</v>
      </c>
      <c r="E522" s="65" t="str">
        <f>IFERROR(__xludf.DUMMYFUNCTION("GOOGLETRANSLATE(B522,""en"",""fr"")"),"En attente d'une demande de transport")</f>
        <v>En attente d'une demande de transport</v>
      </c>
      <c r="F522" s="65" t="str">
        <f>IFERROR(__xludf.DUMMYFUNCTION("GOOGLETRANSLATE(B522,""en"",""tr"")"),"Yolculuk Talebini Bekliyorum")</f>
        <v>Yolculuk Talebini Bekliyorum</v>
      </c>
      <c r="G522" s="65" t="str">
        <f>IFERROR(__xludf.DUMMYFUNCTION("GOOGLETRANSLATE(B522,""en"",""ru"")"),"Ожидание запроса на поездку")</f>
        <v>Ожидание запроса на поездку</v>
      </c>
      <c r="H522" s="65" t="str">
        <f>IFERROR(__xludf.DUMMYFUNCTION("GOOGLETRANSLATE(B522,""en"",""it"")"),"In attesa della richiesta di passaggio")</f>
        <v>In attesa della richiesta di passaggio</v>
      </c>
      <c r="I522" s="65" t="str">
        <f>IFERROR(__xludf.DUMMYFUNCTION("GOOGLETRANSLATE(B522,""en"",""de"")"),"Warten auf Fahrtanfrage")</f>
        <v>Warten auf Fahrtanfrage</v>
      </c>
      <c r="J522" s="65" t="str">
        <f>IFERROR(__xludf.DUMMYFUNCTION("GOOGLETRANSLATE(B522,""en"",""ko"")"),"승차 요청 대기 중")</f>
        <v>승차 요청 대기 중</v>
      </c>
      <c r="K522" s="65" t="str">
        <f>IFERROR(__xludf.DUMMYFUNCTION("GOOGLETRANSLATE(B522,""en"",""zh"")"),"等待乘车请求")</f>
        <v>等待乘车请求</v>
      </c>
      <c r="L522" s="65" t="str">
        <f>IFERROR(__xludf.DUMMYFUNCTION("GOOGLETRANSLATE(B522,""en"",""es"")"),"Esperando solicitud de viaje")</f>
        <v>Esperando solicitud de viaje</v>
      </c>
      <c r="M522" s="64" t="str">
        <f>IFERROR(__xludf.DUMMYFUNCTION("GOOGLETRANSLATE(B522,""en"",""iw"")"),"מחכה לבקשת נסיעה")</f>
        <v>מחכה לבקשת נסיעה</v>
      </c>
      <c r="N522" s="65" t="str">
        <f>IFERROR(__xludf.DUMMYFUNCTION("GOOGLETRANSLATE(B522,""en"",""bn"")"),"রাইডের অনুরোধের জন্য অপেক্ষা করা হচ্ছে")</f>
        <v>রাইডের অনুরোধের জন্য অপেক্ষা করা হচ্ছে</v>
      </c>
      <c r="O522" s="4" t="str">
        <f>IFERROR(__xludf.DUMMYFUNCTION("GOOGLETRANSLATE(B522,""en"",""pt"")"),"Aguardando solicitação de viagem")</f>
        <v>Aguardando solicitação de viagem</v>
      </c>
    </row>
    <row r="523">
      <c r="A523" s="80" t="s">
        <v>1260</v>
      </c>
      <c r="B523" s="78" t="s">
        <v>1261</v>
      </c>
      <c r="C523" s="64" t="str">
        <f>IFERROR(__xludf.DUMMYFUNCTION("GOOGLETRANSLATE(B523,""en"",""hi"")"),"सवारी छोड़ें")</f>
        <v>सवारी छोड़ें</v>
      </c>
      <c r="D523" s="65" t="str">
        <f>IFERROR(__xludf.DUMMYFUNCTION("GOOGLETRANSLATE(B523,""en"",""ar"")"),"تخطي الرحلة")</f>
        <v>تخطي الرحلة</v>
      </c>
      <c r="E523" s="65" t="str">
        <f>IFERROR(__xludf.DUMMYFUNCTION("GOOGLETRANSLATE(B523,""en"",""fr"")"),"Sautez le trajet")</f>
        <v>Sautez le trajet</v>
      </c>
      <c r="F523" s="65" t="str">
        <f>IFERROR(__xludf.DUMMYFUNCTION("GOOGLETRANSLATE(B523,""en"",""tr"")"),"Yolculuğu Atla")</f>
        <v>Yolculuğu Atla</v>
      </c>
      <c r="G523" s="65" t="str">
        <f>IFERROR(__xludf.DUMMYFUNCTION("GOOGLETRANSLATE(B523,""en"",""ru"")"),"Пропустить поездку")</f>
        <v>Пропустить поездку</v>
      </c>
      <c r="H523" s="65" t="str">
        <f>IFERROR(__xludf.DUMMYFUNCTION("GOOGLETRANSLATE(B523,""en"",""it"")"),"Salta la corsa")</f>
        <v>Salta la corsa</v>
      </c>
      <c r="I523" s="65" t="str">
        <f>IFERROR(__xludf.DUMMYFUNCTION("GOOGLETRANSLATE(B523,""en"",""de"")"),"Überspringen Sie die Fahrt")</f>
        <v>Überspringen Sie die Fahrt</v>
      </c>
      <c r="J523" s="65" t="str">
        <f>IFERROR(__xludf.DUMMYFUNCTION("GOOGLETRANSLATE(B523,""en"",""ko"")"),"라이드 스킵")</f>
        <v>라이드 스킵</v>
      </c>
      <c r="K523" s="65" t="str">
        <f>IFERROR(__xludf.DUMMYFUNCTION("GOOGLETRANSLATE(B523,""en"",""zh"")"),"跳过骑行")</f>
        <v>跳过骑行</v>
      </c>
      <c r="L523" s="65" t="str">
        <f>IFERROR(__xludf.DUMMYFUNCTION("GOOGLETRANSLATE(B523,""en"",""es"")"),"Saltar el viaje")</f>
        <v>Saltar el viaje</v>
      </c>
      <c r="M523" s="64" t="str">
        <f>IFERROR(__xludf.DUMMYFUNCTION("GOOGLETRANSLATE(B523,""en"",""iw"")"),"דלג על הנסיעה")</f>
        <v>דלג על הנסיעה</v>
      </c>
      <c r="N523" s="65" t="str">
        <f>IFERROR(__xludf.DUMMYFUNCTION("GOOGLETRANSLATE(B523,""en"",""bn"")"),"রাইড এড়িয়ে যান")</f>
        <v>রাইড এড়িয়ে যান</v>
      </c>
      <c r="O523" s="4" t="str">
        <f>IFERROR(__xludf.DUMMYFUNCTION("GOOGLETRANSLATE(B523,""en"",""pt"")"),"Pule o passeio")</f>
        <v>Pule o passeio</v>
      </c>
    </row>
    <row r="524">
      <c r="A524" s="80" t="s">
        <v>1262</v>
      </c>
      <c r="B524" s="78" t="s">
        <v>1263</v>
      </c>
      <c r="C524" s="64" t="str">
        <f>IFERROR(__xludf.DUMMYFUNCTION("GOOGLETRANSLATE(B524,""en"",""hi"")"),"बोली")</f>
        <v>बोली</v>
      </c>
      <c r="D524" s="65" t="str">
        <f>IFERROR(__xludf.DUMMYFUNCTION("GOOGLETRANSLATE(B524,""en"",""ar"")"),"مُنَاقَصَة")</f>
        <v>مُنَاقَصَة</v>
      </c>
      <c r="E524" s="65" t="str">
        <f>IFERROR(__xludf.DUMMYFUNCTION("GOOGLETRANSLATE(B524,""en"",""fr"")"),"Offre")</f>
        <v>Offre</v>
      </c>
      <c r="F524" s="65" t="str">
        <f>IFERROR(__xludf.DUMMYFUNCTION("GOOGLETRANSLATE(B524,""en"",""tr"")"),"Teklif etmek")</f>
        <v>Teklif etmek</v>
      </c>
      <c r="G524" s="65" t="str">
        <f>IFERROR(__xludf.DUMMYFUNCTION("GOOGLETRANSLATE(B524,""en"",""ru"")"),"Делать ставку")</f>
        <v>Делать ставку</v>
      </c>
      <c r="H524" s="65" t="str">
        <f>IFERROR(__xludf.DUMMYFUNCTION("GOOGLETRANSLATE(B524,""en"",""it"")"),"Offerta")</f>
        <v>Offerta</v>
      </c>
      <c r="I524" s="65" t="str">
        <f>IFERROR(__xludf.DUMMYFUNCTION("GOOGLETRANSLATE(B524,""en"",""de"")"),"Gebot")</f>
        <v>Gebot</v>
      </c>
      <c r="J524" s="65" t="str">
        <f>IFERROR(__xludf.DUMMYFUNCTION("GOOGLETRANSLATE(B524,""en"",""ko"")"),"매기다")</f>
        <v>매기다</v>
      </c>
      <c r="K524" s="65" t="str">
        <f>IFERROR(__xludf.DUMMYFUNCTION("GOOGLETRANSLATE(B524,""en"",""zh"")"),"出价")</f>
        <v>出价</v>
      </c>
      <c r="L524" s="65" t="str">
        <f>IFERROR(__xludf.DUMMYFUNCTION("GOOGLETRANSLATE(B524,""en"",""es"")"),"Licitación")</f>
        <v>Licitación</v>
      </c>
      <c r="M524" s="64" t="str">
        <f>IFERROR(__xludf.DUMMYFUNCTION("GOOGLETRANSLATE(B524,""en"",""iw"")"),"הַצָעַת מְחִיר")</f>
        <v>הַצָעַת מְחִיר</v>
      </c>
      <c r="N524" s="65" t="str">
        <f>IFERROR(__xludf.DUMMYFUNCTION("GOOGLETRANSLATE(B524,""en"",""bn"")"),"বিড")</f>
        <v>বিড</v>
      </c>
      <c r="O524" s="4" t="str">
        <f>IFERROR(__xludf.DUMMYFUNCTION("GOOGLETRANSLATE(B524,""en"",""pt"")"),"Oferta")</f>
        <v>Oferta</v>
      </c>
    </row>
    <row r="525">
      <c r="A525" s="81" t="s">
        <v>1264</v>
      </c>
      <c r="B525" s="78" t="s">
        <v>1265</v>
      </c>
      <c r="C525" s="64" t="str">
        <f>IFERROR(__xludf.DUMMYFUNCTION("GOOGLETRANSLATE(B525,""en"",""hi"")"),"उपयोगकर्ता द्वारा अनुरोध स्वीकार करने की प्रतीक्षा की जा रही है")</f>
        <v>उपयोगकर्ता द्वारा अनुरोध स्वीकार करने की प्रतीक्षा की जा रही है</v>
      </c>
      <c r="D525" s="65" t="str">
        <f>IFERROR(__xludf.DUMMYFUNCTION("GOOGLETRANSLATE(B525,""en"",""ar"")"),"في انتظار المستخدم لقبول الطلب")</f>
        <v>في انتظار المستخدم لقبول الطلب</v>
      </c>
      <c r="E525" s="65" t="str">
        <f>IFERROR(__xludf.DUMMYFUNCTION("GOOGLETRANSLATE(B525,""en"",""fr"")"),"En attente de l'acceptation de la demande par l'utilisateur")</f>
        <v>En attente de l'acceptation de la demande par l'utilisateur</v>
      </c>
      <c r="F525" s="65" t="str">
        <f>IFERROR(__xludf.DUMMYFUNCTION("GOOGLETRANSLATE(B525,""en"",""tr"")"),"Kullanıcının isteği kabul etmesi bekleniyor")</f>
        <v>Kullanıcının isteği kabul etmesi bekleniyor</v>
      </c>
      <c r="G525" s="65" t="str">
        <f>IFERROR(__xludf.DUMMYFUNCTION("GOOGLETRANSLATE(B525,""en"",""ru"")"),"Ожидание принятия запроса пользователем")</f>
        <v>Ожидание принятия запроса пользователем</v>
      </c>
      <c r="H525" s="65" t="str">
        <f>IFERROR(__xludf.DUMMYFUNCTION("GOOGLETRANSLATE(B525,""en"",""it"")"),"In attesa che l'utente accetti la richiesta")</f>
        <v>In attesa che l'utente accetti la richiesta</v>
      </c>
      <c r="I525" s="65" t="str">
        <f>IFERROR(__xludf.DUMMYFUNCTION("GOOGLETRANSLATE(B525,""en"",""de"")"),"Warten auf die Annahme der Anfrage durch den Benutzer")</f>
        <v>Warten auf die Annahme der Anfrage durch den Benutzer</v>
      </c>
      <c r="J525" s="65" t="str">
        <f>IFERROR(__xludf.DUMMYFUNCTION("GOOGLETRANSLATE(B525,""en"",""ko"")"),"사용자가 요청을 수락할 때까지 기다리는 중")</f>
        <v>사용자가 요청을 수락할 때까지 기다리는 중</v>
      </c>
      <c r="K525" s="65" t="str">
        <f>IFERROR(__xludf.DUMMYFUNCTION("GOOGLETRANSLATE(B525,""en"",""zh"")"),"等待用户接受请求")</f>
        <v>等待用户接受请求</v>
      </c>
      <c r="L525" s="65" t="str">
        <f>IFERROR(__xludf.DUMMYFUNCTION("GOOGLETRANSLATE(B525,""en"",""es"")"),"Esperando que el usuario acepte la solicitud")</f>
        <v>Esperando que el usuario acepte la solicitud</v>
      </c>
      <c r="M525" s="64" t="str">
        <f>IFERROR(__xludf.DUMMYFUNCTION("GOOGLETRANSLATE(B525,""en"",""iw"")"),"ממתין שהמשתמש יאשר את הבקשה")</f>
        <v>ממתין שהמשתמש יאשר את הבקשה</v>
      </c>
      <c r="N525" s="65" t="str">
        <f>IFERROR(__xludf.DUMMYFUNCTION("GOOGLETRANSLATE(B525,""en"",""bn"")"),"ব্যবহারকারীর অনুরোধ গ্রহণ করার জন্য অপেক্ষা করা হচ্ছে")</f>
        <v>ব্যবহারকারীর অনুরোধ গ্রহণ করার জন্য অপেক্ষা করা হচ্ছে</v>
      </c>
      <c r="O525" s="4" t="str">
        <f>IFERROR(__xludf.DUMMYFUNCTION("GOOGLETRANSLATE(B525,""en"",""pt"")"),"Aguardando que o usuário aceite a solicitação")</f>
        <v>Aguardando que o usuário aceite a solicitação</v>
      </c>
    </row>
    <row r="526">
      <c r="A526" s="80" t="s">
        <v>1266</v>
      </c>
      <c r="B526" s="78" t="s">
        <v>1267</v>
      </c>
      <c r="C526" s="64" t="str">
        <f>IFERROR(__xludf.DUMMYFUNCTION("GOOGLETRANSLATE(B526,""en"",""hi"")"),"उठाना")</f>
        <v>उठाना</v>
      </c>
      <c r="D526" s="65" t="str">
        <f>IFERROR(__xludf.DUMMYFUNCTION("GOOGLETRANSLATE(B526,""en"",""ar"")"),"يلتقط")</f>
        <v>يلتقط</v>
      </c>
      <c r="E526" s="65" t="str">
        <f>IFERROR(__xludf.DUMMYFUNCTION("GOOGLETRANSLATE(B526,""en"",""fr"")"),"Ramasser")</f>
        <v>Ramasser</v>
      </c>
      <c r="F526" s="65" t="str">
        <f>IFERROR(__xludf.DUMMYFUNCTION("GOOGLETRANSLATE(B526,""en"",""tr"")"),"Toplamak")</f>
        <v>Toplamak</v>
      </c>
      <c r="G526" s="65" t="str">
        <f>IFERROR(__xludf.DUMMYFUNCTION("GOOGLETRANSLATE(B526,""en"",""ru"")"),"Подобрать")</f>
        <v>Подобрать</v>
      </c>
      <c r="H526" s="65" t="str">
        <f>IFERROR(__xludf.DUMMYFUNCTION("GOOGLETRANSLATE(B526,""en"",""it"")"),"Raccolta")</f>
        <v>Raccolta</v>
      </c>
      <c r="I526" s="65" t="str">
        <f>IFERROR(__xludf.DUMMYFUNCTION("GOOGLETRANSLATE(B526,""en"",""de"")"),"Abholen")</f>
        <v>Abholen</v>
      </c>
      <c r="J526" s="65" t="str">
        <f>IFERROR(__xludf.DUMMYFUNCTION("GOOGLETRANSLATE(B526,""en"",""ko"")"),"찾다")</f>
        <v>찾다</v>
      </c>
      <c r="K526" s="65" t="str">
        <f>IFERROR(__xludf.DUMMYFUNCTION("GOOGLETRANSLATE(B526,""en"",""zh"")"),"捡起")</f>
        <v>捡起</v>
      </c>
      <c r="L526" s="65" t="str">
        <f>IFERROR(__xludf.DUMMYFUNCTION("GOOGLETRANSLATE(B526,""en"",""es"")"),"Levantar")</f>
        <v>Levantar</v>
      </c>
      <c r="M526" s="64" t="str">
        <f>IFERROR(__xludf.DUMMYFUNCTION("GOOGLETRANSLATE(B526,""en"",""iw"")"),"לֶאֱסוֹף")</f>
        <v>לֶאֱסוֹף</v>
      </c>
      <c r="N526" s="65" t="str">
        <f>IFERROR(__xludf.DUMMYFUNCTION("GOOGLETRANSLATE(B526,""en"",""bn"")"),"পিক আপ")</f>
        <v>পিক আপ</v>
      </c>
      <c r="O526" s="4" t="str">
        <f>IFERROR(__xludf.DUMMYFUNCTION("GOOGLETRANSLATE(B526,""en"",""pt"")"),"Escolher")</f>
        <v>Escolher</v>
      </c>
    </row>
    <row r="527">
      <c r="A527" s="71" t="s">
        <v>1268</v>
      </c>
      <c r="B527" s="76" t="s">
        <v>1269</v>
      </c>
      <c r="C527" s="64" t="str">
        <f>IFERROR(__xludf.DUMMYFUNCTION("GOOGLETRANSLATE(B527,""en"",""hi"")"),"के बीच की दूरी से सवारी प्राप्त करें")</f>
        <v>के बीच की दूरी से सवारी प्राप्त करें</v>
      </c>
      <c r="D527" s="65" t="str">
        <f>IFERROR(__xludf.DUMMYFUNCTION("GOOGLETRANSLATE(B527,""en"",""ar"")"),"احصل على رحلة من المسافة بين")</f>
        <v>احصل على رحلة من المسافة بين</v>
      </c>
      <c r="E527" s="65" t="str">
        <f>IFERROR(__xludf.DUMMYFUNCTION("GOOGLETRANSLATE(B527,""en"",""fr"")"),"Obtenez un trajet à distance entre")</f>
        <v>Obtenez un trajet à distance entre</v>
      </c>
      <c r="F527" s="65" t="str">
        <f>IFERROR(__xludf.DUMMYFUNCTION("GOOGLETRANSLATE(B527,""en"",""tr"")"),"Mesafeyi kullanarak yolculuk yapın")</f>
        <v>Mesafeyi kullanarak yolculuk yapın</v>
      </c>
      <c r="G527" s="65" t="str">
        <f>IFERROR(__xludf.DUMMYFUNCTION("GOOGLETRANSLATE(B527,""en"",""ru"")"),"Получить поездку на расстоянии между")</f>
        <v>Получить поездку на расстоянии между</v>
      </c>
      <c r="H527" s="65" t="str">
        <f>IFERROR(__xludf.DUMMYFUNCTION("GOOGLETRANSLATE(B527,""en"",""it"")"),"Ottieni un passaggio dalla distanza tra")</f>
        <v>Ottieni un passaggio dalla distanza tra</v>
      </c>
      <c r="I527" s="65" t="str">
        <f>IFERROR(__xludf.DUMMYFUNCTION("GOOGLETRANSLATE(B527,""en"",""de"")"),"Holen Sie sich eine Fahrt von der Entfernung zwischen")</f>
        <v>Holen Sie sich eine Fahrt von der Entfernung zwischen</v>
      </c>
      <c r="J527" s="65" t="str">
        <f>IFERROR(__xludf.DUMMYFUNCTION("GOOGLETRANSLATE(B527,""en"",""ko"")"),"거리 사이에서 승차하세요")</f>
        <v>거리 사이에서 승차하세요</v>
      </c>
      <c r="K527" s="65" t="str">
        <f>IFERROR(__xludf.DUMMYFUNCTION("GOOGLETRANSLATE(B527,""en"",""zh"")"),"搭乘距离")</f>
        <v>搭乘距离</v>
      </c>
      <c r="L527" s="65" t="str">
        <f>IFERROR(__xludf.DUMMYFUNCTION("GOOGLETRANSLATE(B527,""en"",""es"")"),"Conseguir un viaje desde la distancia entre")</f>
        <v>Conseguir un viaje desde la distancia entre</v>
      </c>
      <c r="M527" s="64" t="str">
        <f>IFERROR(__xludf.DUMMYFUNCTION("GOOGLETRANSLATE(B527,""en"",""iw"")"),"קבל נסיעה ממרחק בין")</f>
        <v>קבל נסיעה ממרחק בין</v>
      </c>
      <c r="N527" s="65" t="str">
        <f>IFERROR(__xludf.DUMMYFUNCTION("GOOGLETRANSLATE(B527,""en"",""bn"")"),"মধ্যে দূরত্ব থেকে রাইড পান")</f>
        <v>মধ্যে দূরত্ব থেকে রাইড পান</v>
      </c>
      <c r="O527" s="4" t="str">
        <f>IFERROR(__xludf.DUMMYFUNCTION("GOOGLETRANSLATE(B527,""en"",""pt"")"),"Obtenha uma viagem de distância entre")</f>
        <v>Obtenha uma viagem de distância entre</v>
      </c>
    </row>
    <row r="528">
      <c r="A528" s="71" t="s">
        <v>1270</v>
      </c>
      <c r="B528" s="63" t="s">
        <v>1271</v>
      </c>
      <c r="C528" s="64" t="str">
        <f>IFERROR(__xludf.DUMMYFUNCTION("GOOGLETRANSLATE(B528,""en"",""hi"")"),"अनुरोध बनाएँ")</f>
        <v>अनुरोध बनाएँ</v>
      </c>
      <c r="D528" s="65" t="str">
        <f>IFERROR(__xludf.DUMMYFUNCTION("GOOGLETRANSLATE(B528,""en"",""ar"")"),"إنشاء طلب")</f>
        <v>إنشاء طلب</v>
      </c>
      <c r="E528" s="65" t="str">
        <f>IFERROR(__xludf.DUMMYFUNCTION("GOOGLETRANSLATE(B528,""en"",""fr"")"),"Créer une demande")</f>
        <v>Créer une demande</v>
      </c>
      <c r="F528" s="65" t="str">
        <f>IFERROR(__xludf.DUMMYFUNCTION("GOOGLETRANSLATE(B528,""en"",""tr"")"),"İstek Oluştur")</f>
        <v>İstek Oluştur</v>
      </c>
      <c r="G528" s="65" t="str">
        <f>IFERROR(__xludf.DUMMYFUNCTION("GOOGLETRANSLATE(B528,""en"",""ru"")"),"Создать запрос")</f>
        <v>Создать запрос</v>
      </c>
      <c r="H528" s="65" t="str">
        <f>IFERROR(__xludf.DUMMYFUNCTION("GOOGLETRANSLATE(B528,""en"",""it"")"),"Crea richiesta")</f>
        <v>Crea richiesta</v>
      </c>
      <c r="I528" s="65" t="str">
        <f>IFERROR(__xludf.DUMMYFUNCTION("GOOGLETRANSLATE(B528,""en"",""de"")"),"Anfrage erstellen")</f>
        <v>Anfrage erstellen</v>
      </c>
      <c r="J528" s="65" t="str">
        <f>IFERROR(__xludf.DUMMYFUNCTION("GOOGLETRANSLATE(B528,""en"",""ko"")"),"요청 생성")</f>
        <v>요청 생성</v>
      </c>
      <c r="K528" s="65" t="str">
        <f>IFERROR(__xludf.DUMMYFUNCTION("GOOGLETRANSLATE(B528,""en"",""zh"")"),"创建请求")</f>
        <v>创建请求</v>
      </c>
      <c r="L528" s="65" t="str">
        <f>IFERROR(__xludf.DUMMYFUNCTION("GOOGLETRANSLATE(B528,""en"",""es"")"),"Crear solicitud")</f>
        <v>Crear solicitud</v>
      </c>
      <c r="M528" s="64" t="str">
        <f>IFERROR(__xludf.DUMMYFUNCTION("GOOGLETRANSLATE(B528,""en"",""iw"")"),"צור בקשה")</f>
        <v>צור בקשה</v>
      </c>
      <c r="N528" s="65" t="str">
        <f>IFERROR(__xludf.DUMMYFUNCTION("GOOGLETRANSLATE(B528,""en"",""bn"")"),"অনুরোধ তৈরি করুন")</f>
        <v>অনুরোধ তৈরি করুন</v>
      </c>
      <c r="O528" s="4" t="str">
        <f>IFERROR(__xludf.DUMMYFUNCTION("GOOGLETRANSLATE(B528,""en"",""pt"")"),"Criar solicitação")</f>
        <v>Criar solicitação</v>
      </c>
    </row>
    <row r="529">
      <c r="A529" s="71" t="s">
        <v>1272</v>
      </c>
      <c r="B529" s="76" t="s">
        <v>1273</v>
      </c>
      <c r="C529" s="64" t="str">
        <f>IFERROR(__xludf.DUMMYFUNCTION("GOOGLETRANSLATE(B529,""en"",""hi"")"),"आपका किराया अनुशंसित किराए से कम नहीं होना चाहिए")</f>
        <v>आपका किराया अनुशंसित किराए से कम नहीं होना चाहिए</v>
      </c>
      <c r="D529" s="65" t="str">
        <f>IFERROR(__xludf.DUMMYFUNCTION("GOOGLETRANSLATE(B529,""en"",""ar"")"),"لا يجب أن تكون أجرة سفرك أقل من الأجرة الموصى بها")</f>
        <v>لا يجب أن تكون أجرة سفرك أقل من الأجرة الموصى بها</v>
      </c>
      <c r="E529" s="65" t="str">
        <f>IFERROR(__xludf.DUMMYFUNCTION("GOOGLETRANSLATE(B529,""en"",""fr"")"),"votre tarif ne doit pas être inférieur au tarif recommandé")</f>
        <v>votre tarif ne doit pas être inférieur au tarif recommandé</v>
      </c>
      <c r="F529" s="65" t="str">
        <f>IFERROR(__xludf.DUMMYFUNCTION("GOOGLETRANSLATE(B529,""en"",""tr"")"),"Ücretiniz önerilen ücretten daha az olmamalıdır")</f>
        <v>Ücretiniz önerilen ücretten daha az olmamalıdır</v>
      </c>
      <c r="G529" s="65" t="str">
        <f>IFERROR(__xludf.DUMMYFUNCTION("GOOGLETRANSLATE(B529,""en"",""ru"")"),"ваш тариф не должен быть ниже рекомендуемого тарифа")</f>
        <v>ваш тариф не должен быть ниже рекомендуемого тарифа</v>
      </c>
      <c r="H529" s="65" t="str">
        <f>IFERROR(__xludf.DUMMYFUNCTION("GOOGLETRANSLATE(B529,""en"",""it"")"),"la tua tariffa non deve essere inferiore alla tariffa consigliata")</f>
        <v>la tua tariffa non deve essere inferiore alla tariffa consigliata</v>
      </c>
      <c r="I529" s="65" t="str">
        <f>IFERROR(__xludf.DUMMYFUNCTION("GOOGLETRANSLATE(B529,""en"",""de"")"),"Ihr Fahrpreis darf nicht niedriger sein als der empfohlene Fahrpreis")</f>
        <v>Ihr Fahrpreis darf nicht niedriger sein als der empfohlene Fahrpreis</v>
      </c>
      <c r="J529" s="65" t="str">
        <f>IFERROR(__xludf.DUMMYFUNCTION("GOOGLETRANSLATE(B529,""en"",""ko"")"),"귀하의 요금은 권장 요금보다 낮아서는 안 됩니다.")</f>
        <v>귀하의 요금은 권장 요금보다 낮아서는 안 됩니다.</v>
      </c>
      <c r="K529" s="65" t="str">
        <f>IFERROR(__xludf.DUMMYFUNCTION("GOOGLETRANSLATE(B529,""en"",""zh"")"),"您的票价不得低于建议票价")</f>
        <v>您的票价不得低于建议票价</v>
      </c>
      <c r="L529" s="65" t="str">
        <f>IFERROR(__xludf.DUMMYFUNCTION("GOOGLETRANSLATE(B529,""en"",""es"")"),"Su tarifa no debe ser menor que la tarifa recomendada")</f>
        <v>Su tarifa no debe ser menor que la tarifa recomendada</v>
      </c>
      <c r="M529" s="64" t="str">
        <f>IFERROR(__xludf.DUMMYFUNCTION("GOOGLETRANSLATE(B529,""en"",""iw"")"),"התעריף שלך לא חייב להיות נמוך מהתעריף המומלץ")</f>
        <v>התעריף שלך לא חייב להיות נמוך מהתעריף המומלץ</v>
      </c>
      <c r="N529" s="65" t="str">
        <f>IFERROR(__xludf.DUMMYFUNCTION("GOOGLETRANSLATE(B529,""en"",""bn"")"),"আপনার ভাড়া প্রস্তাবিত ভাড়ার চেয়ে কম হওয়া উচিত নয়")</f>
        <v>আপনার ভাড়া প্রস্তাবিত ভাড়ার চেয়ে কম হওয়া উচিত নয়</v>
      </c>
      <c r="O529" s="4" t="str">
        <f>IFERROR(__xludf.DUMMYFUNCTION("GOOGLETRANSLATE(B529,""en"",""pt"")"),"sua tarifa não deve ser menor que a tarifa recomendada")</f>
        <v>sua tarifa não deve ser menor que a tarifa recomendada</v>
      </c>
    </row>
    <row r="530">
      <c r="A530" s="71" t="s">
        <v>1274</v>
      </c>
      <c r="B530" s="72" t="s">
        <v>1275</v>
      </c>
      <c r="C530" s="64" t="str">
        <f>IFERROR(__xludf.DUMMYFUNCTION("GOOGLETRANSLATE(B530,""en"",""hi"")"),"हमसे संपर्क करें")</f>
        <v>हमसे संपर्क करें</v>
      </c>
      <c r="D530" s="65" t="str">
        <f>IFERROR(__xludf.DUMMYFUNCTION("GOOGLETRANSLATE(B530,""en"",""ar"")"),"اتصل بنا")</f>
        <v>اتصل بنا</v>
      </c>
      <c r="E530" s="65" t="str">
        <f>IFERROR(__xludf.DUMMYFUNCTION("GOOGLETRANSLATE(B530,""en"",""fr"")"),"Contactez-nous")</f>
        <v>Contactez-nous</v>
      </c>
      <c r="F530" s="65" t="str">
        <f>IFERROR(__xludf.DUMMYFUNCTION("GOOGLETRANSLATE(B530,""en"",""tr"")"),"Bize Ulaşın")</f>
        <v>Bize Ulaşın</v>
      </c>
      <c r="G530" s="65" t="str">
        <f>IFERROR(__xludf.DUMMYFUNCTION("GOOGLETRANSLATE(B530,""en"",""ru"")"),"Связаться с нами")</f>
        <v>Связаться с нами</v>
      </c>
      <c r="H530" s="65" t="str">
        <f>IFERROR(__xludf.DUMMYFUNCTION("GOOGLETRANSLATE(B530,""en"",""it"")"),"Contattaci")</f>
        <v>Contattaci</v>
      </c>
      <c r="I530" s="65" t="str">
        <f>IFERROR(__xludf.DUMMYFUNCTION("GOOGLETRANSLATE(B530,""en"",""de"")"),"Kontaktieren Sie uns")</f>
        <v>Kontaktieren Sie uns</v>
      </c>
      <c r="J530" s="65" t="str">
        <f>IFERROR(__xludf.DUMMYFUNCTION("GOOGLETRANSLATE(B530,""en"",""ko"")"),"문의하기")</f>
        <v>문의하기</v>
      </c>
      <c r="K530" s="65" t="str">
        <f>IFERROR(__xludf.DUMMYFUNCTION("GOOGLETRANSLATE(B530,""en"",""zh"")"),"联系我们")</f>
        <v>联系我们</v>
      </c>
      <c r="L530" s="65" t="str">
        <f>IFERROR(__xludf.DUMMYFUNCTION("GOOGLETRANSLATE(B530,""en"",""es"")"),"Contáctenos")</f>
        <v>Contáctenos</v>
      </c>
      <c r="M530" s="64" t="str">
        <f>IFERROR(__xludf.DUMMYFUNCTION("GOOGLETRANSLATE(B530,""en"",""iw"")"),"צור קשר")</f>
        <v>צור קשר</v>
      </c>
      <c r="N530" s="65" t="str">
        <f>IFERROR(__xludf.DUMMYFUNCTION("GOOGLETRANSLATE(B530,""en"",""bn"")"),"আমাদের সাথে যোগাযোগ করুন")</f>
        <v>আমাদের সাথে যোগাযোগ করুন</v>
      </c>
      <c r="O530" s="4" t="str">
        <f>IFERROR(__xludf.DUMMYFUNCTION("GOOGLETRANSLATE(B530,""en"",""pt"")"),"Contate-nos")</f>
        <v>Contate-nos</v>
      </c>
    </row>
    <row r="531">
      <c r="A531" s="71" t="s">
        <v>1008</v>
      </c>
      <c r="B531" s="72" t="s">
        <v>1009</v>
      </c>
      <c r="C531" s="64" t="str">
        <f>IFERROR(__xludf.DUMMYFUNCTION("GOOGLETRANSLATE(B531,""en"",""hi"")"),"समाप्ति तिथि")</f>
        <v>समाप्ति तिथि</v>
      </c>
      <c r="D531" s="65" t="str">
        <f>IFERROR(__xludf.DUMMYFUNCTION("GOOGLETRANSLATE(B531,""en"",""ar"")"),"تاريخ انتهاء الصلاحية")</f>
        <v>تاريخ انتهاء الصلاحية</v>
      </c>
      <c r="E531" s="65" t="str">
        <f>IFERROR(__xludf.DUMMYFUNCTION("GOOGLETRANSLATE(B531,""en"",""fr"")"),"Date d'expiration")</f>
        <v>Date d'expiration</v>
      </c>
      <c r="F531" s="65" t="str">
        <f>IFERROR(__xludf.DUMMYFUNCTION("GOOGLETRANSLATE(B531,""en"",""tr"")"),"Son kullanma tarihi")</f>
        <v>Son kullanma tarihi</v>
      </c>
      <c r="G531" s="65" t="str">
        <f>IFERROR(__xludf.DUMMYFUNCTION("GOOGLETRANSLATE(B531,""en"",""ru"")"),"Дата истечения срока действия")</f>
        <v>Дата истечения срока действия</v>
      </c>
      <c r="H531" s="65" t="str">
        <f>IFERROR(__xludf.DUMMYFUNCTION("GOOGLETRANSLATE(B531,""en"",""it"")"),"Data di scadenza")</f>
        <v>Data di scadenza</v>
      </c>
      <c r="I531" s="65" t="str">
        <f>IFERROR(__xludf.DUMMYFUNCTION("GOOGLETRANSLATE(B531,""en"",""de"")"),"Verfallsdatum")</f>
        <v>Verfallsdatum</v>
      </c>
      <c r="J531" s="65" t="str">
        <f>IFERROR(__xludf.DUMMYFUNCTION("GOOGLETRANSLATE(B531,""en"",""ko"")"),"만료일")</f>
        <v>만료일</v>
      </c>
      <c r="K531" s="65" t="str">
        <f>IFERROR(__xludf.DUMMYFUNCTION("GOOGLETRANSLATE(B531,""en"",""zh"")"),"到期日")</f>
        <v>到期日</v>
      </c>
      <c r="L531" s="65" t="str">
        <f>IFERROR(__xludf.DUMMYFUNCTION("GOOGLETRANSLATE(B531,""en"",""es"")"),"Fecha de caducidad")</f>
        <v>Fecha de caducidad</v>
      </c>
      <c r="M531" s="64" t="str">
        <f>IFERROR(__xludf.DUMMYFUNCTION("GOOGLETRANSLATE(B531,""en"",""iw"")"),"תאריך תפוגה")</f>
        <v>תאריך תפוגה</v>
      </c>
      <c r="N531" s="65" t="str">
        <f>IFERROR(__xludf.DUMMYFUNCTION("GOOGLETRANSLATE(B531,""en"",""bn"")"),"মেয়াদ শেষ হওয়ার তারিখ")</f>
        <v>মেয়াদ শেষ হওয়ার তারিখ</v>
      </c>
      <c r="O531" s="4" t="str">
        <f>IFERROR(__xludf.DUMMYFUNCTION("GOOGLETRANSLATE(B531,""en"",""pt"")"),"Data de validade")</f>
        <v>Data de validade</v>
      </c>
    </row>
    <row r="532">
      <c r="A532" s="71" t="s">
        <v>1276</v>
      </c>
      <c r="B532" s="75" t="s">
        <v>1277</v>
      </c>
      <c r="C532" s="64" t="str">
        <f>IFERROR(__xludf.DUMMYFUNCTION("GOOGLETRANSLATE(B532,""en"",""hi"")"),"ईमेल से साइन इन करें")</f>
        <v>ईमेल से साइन इन करें</v>
      </c>
      <c r="D532" s="65" t="str">
        <f>IFERROR(__xludf.DUMMYFUNCTION("GOOGLETRANSLATE(B532,""en"",""ar"")"),"تسجيل الدخول باستخدام البريد الإلكتروني")</f>
        <v>تسجيل الدخول باستخدام البريد الإلكتروني</v>
      </c>
      <c r="E532" s="65" t="str">
        <f>IFERROR(__xludf.DUMMYFUNCTION("GOOGLETRANSLATE(B532,""en"",""fr"")"),"Connectez-vous avec votre e-mail")</f>
        <v>Connectez-vous avec votre e-mail</v>
      </c>
      <c r="F532" s="65" t="str">
        <f>IFERROR(__xludf.DUMMYFUNCTION("GOOGLETRANSLATE(B532,""en"",""tr"")"),"E-posta ile Giriş Yap")</f>
        <v>E-posta ile Giriş Yap</v>
      </c>
      <c r="G532" s="65" t="str">
        <f>IFERROR(__xludf.DUMMYFUNCTION("GOOGLETRANSLATE(B532,""en"",""ru"")"),"Войти с помощью электронной почты")</f>
        <v>Войти с помощью электронной почты</v>
      </c>
      <c r="H532" s="65" t="str">
        <f>IFERROR(__xludf.DUMMYFUNCTION("GOOGLETRANSLATE(B532,""en"",""it"")"),"Accedi con l'email")</f>
        <v>Accedi con l'email</v>
      </c>
      <c r="I532" s="65" t="str">
        <f>IFERROR(__xludf.DUMMYFUNCTION("GOOGLETRANSLATE(B532,""en"",""de"")"),"Mit E-Mail anmelden")</f>
        <v>Mit E-Mail anmelden</v>
      </c>
      <c r="J532" s="65" t="str">
        <f>IFERROR(__xludf.DUMMYFUNCTION("GOOGLETRANSLATE(B532,""en"",""ko"")"),"이메일로 로그인")</f>
        <v>이메일로 로그인</v>
      </c>
      <c r="K532" s="65" t="str">
        <f>IFERROR(__xludf.DUMMYFUNCTION("GOOGLETRANSLATE(B532,""en"",""zh"")"),"使用电子邮件登录")</f>
        <v>使用电子邮件登录</v>
      </c>
      <c r="L532" s="65" t="str">
        <f>IFERROR(__xludf.DUMMYFUNCTION("GOOGLETRANSLATE(B532,""en"",""es"")"),"Iniciar sesión con correo electrónico")</f>
        <v>Iniciar sesión con correo electrónico</v>
      </c>
      <c r="M532" s="64" t="str">
        <f>IFERROR(__xludf.DUMMYFUNCTION("GOOGLETRANSLATE(B532,""en"",""iw"")"),"היכנס באמצעות דואר אלקטרוני")</f>
        <v>היכנס באמצעות דואר אלקטרוני</v>
      </c>
      <c r="N532" s="65" t="str">
        <f>IFERROR(__xludf.DUMMYFUNCTION("GOOGLETRANSLATE(B532,""en"",""bn"")"),"ইমেইল দিয়ে সাইন ইন করুন")</f>
        <v>ইমেইল দিয়ে সাইন ইন করুন</v>
      </c>
      <c r="O532" s="4" t="str">
        <f>IFERROR(__xludf.DUMMYFUNCTION("GOOGLETRANSLATE(B532,""en"",""pt"")"),"Entrar com e-mail")</f>
        <v>Entrar com e-mail</v>
      </c>
    </row>
    <row r="533">
      <c r="A533" s="71" t="s">
        <v>1278</v>
      </c>
      <c r="B533" s="72" t="s">
        <v>1279</v>
      </c>
      <c r="C533" s="64" t="str">
        <f>IFERROR(__xludf.DUMMYFUNCTION("GOOGLETRANSLATE(B533,""en"",""hi"")"),"ईमेल सत्यापन")</f>
        <v>ईमेल सत्यापन</v>
      </c>
      <c r="D533" s="65" t="str">
        <f>IFERROR(__xludf.DUMMYFUNCTION("GOOGLETRANSLATE(B533,""en"",""ar"")"),"التحقق من البريد الإلكتروني")</f>
        <v>التحقق من البريد الإلكتروني</v>
      </c>
      <c r="E533" s="65" t="str">
        <f>IFERROR(__xludf.DUMMYFUNCTION("GOOGLETRANSLATE(B533,""en"",""fr"")"),"Vérification de l'e-mail")</f>
        <v>Vérification de l'e-mail</v>
      </c>
      <c r="F533" s="65" t="str">
        <f>IFERROR(__xludf.DUMMYFUNCTION("GOOGLETRANSLATE(B533,""en"",""tr"")"),"E-posta Doğrulaması")</f>
        <v>E-posta Doğrulaması</v>
      </c>
      <c r="G533" s="65" t="str">
        <f>IFERROR(__xludf.DUMMYFUNCTION("GOOGLETRANSLATE(B533,""en"",""ru"")"),"Подтверждение электронной почты")</f>
        <v>Подтверждение электронной почты</v>
      </c>
      <c r="H533" s="65" t="str">
        <f>IFERROR(__xludf.DUMMYFUNCTION("GOOGLETRANSLATE(B533,""en"",""it"")"),"Verifica e-mail")</f>
        <v>Verifica e-mail</v>
      </c>
      <c r="I533" s="65" t="str">
        <f>IFERROR(__xludf.DUMMYFUNCTION("GOOGLETRANSLATE(B533,""en"",""de"")"),"E-Mail-Verifizierung")</f>
        <v>E-Mail-Verifizierung</v>
      </c>
      <c r="J533" s="65" t="str">
        <f>IFERROR(__xludf.DUMMYFUNCTION("GOOGLETRANSLATE(B533,""en"",""ko"")"),"이메일 확인")</f>
        <v>이메일 확인</v>
      </c>
      <c r="K533" s="65" t="str">
        <f>IFERROR(__xludf.DUMMYFUNCTION("GOOGLETRANSLATE(B533,""en"",""zh"")"),"电子邮件验证")</f>
        <v>电子邮件验证</v>
      </c>
      <c r="L533" s="65" t="str">
        <f>IFERROR(__xludf.DUMMYFUNCTION("GOOGLETRANSLATE(B533,""en"",""es"")"),"Verificación de correo electrónico")</f>
        <v>Verificación de correo electrónico</v>
      </c>
      <c r="M533" s="64" t="str">
        <f>IFERROR(__xludf.DUMMYFUNCTION("GOOGLETRANSLATE(B533,""en"",""iw"")"),"אימות דוא""ל")</f>
        <v>אימות דוא"ל</v>
      </c>
      <c r="N533" s="65" t="str">
        <f>IFERROR(__xludf.DUMMYFUNCTION("GOOGLETRANSLATE(B533,""en"",""bn"")"),"ইমেল যাচাইকরণ")</f>
        <v>ইমেল যাচাইকরণ</v>
      </c>
      <c r="O533" s="4" t="str">
        <f>IFERROR(__xludf.DUMMYFUNCTION("GOOGLETRANSLATE(B533,""en"",""pt"")"),"Verificação de e-mail")</f>
        <v>Verificação de e-mail</v>
      </c>
    </row>
    <row r="534">
      <c r="A534" s="71" t="s">
        <v>1280</v>
      </c>
      <c r="B534" s="75" t="s">
        <v>1281</v>
      </c>
      <c r="C534" s="64" t="str">
        <f>IFERROR(__xludf.DUMMYFUNCTION("GOOGLETRANSLATE(B534,""en"",""hi"")"),"थीम चुनें")</f>
        <v>थीम चुनें</v>
      </c>
      <c r="D534" s="65" t="str">
        <f>IFERROR(__xludf.DUMMYFUNCTION("GOOGLETRANSLATE(B534,""en"",""ar"")"),"اختر السمة")</f>
        <v>اختر السمة</v>
      </c>
      <c r="E534" s="65" t="str">
        <f>IFERROR(__xludf.DUMMYFUNCTION("GOOGLETRANSLATE(B534,""en"",""fr"")"),"Sélectionnez le thème")</f>
        <v>Sélectionnez le thème</v>
      </c>
      <c r="F534" s="65" t="str">
        <f>IFERROR(__xludf.DUMMYFUNCTION("GOOGLETRANSLATE(B534,""en"",""tr"")"),"Tema Seçin")</f>
        <v>Tema Seçin</v>
      </c>
      <c r="G534" s="65" t="str">
        <f>IFERROR(__xludf.DUMMYFUNCTION("GOOGLETRANSLATE(B534,""en"",""ru"")"),"Выберите тему")</f>
        <v>Выберите тему</v>
      </c>
      <c r="H534" s="65" t="str">
        <f>IFERROR(__xludf.DUMMYFUNCTION("GOOGLETRANSLATE(B534,""en"",""it"")"),"Seleziona tema")</f>
        <v>Seleziona tema</v>
      </c>
      <c r="I534" s="65" t="str">
        <f>IFERROR(__xludf.DUMMYFUNCTION("GOOGLETRANSLATE(B534,""en"",""de"")"),"Thema auswählen")</f>
        <v>Thema auswählen</v>
      </c>
      <c r="J534" s="65" t="str">
        <f>IFERROR(__xludf.DUMMYFUNCTION("GOOGLETRANSLATE(B534,""en"",""ko"")"),"테마 선택")</f>
        <v>테마 선택</v>
      </c>
      <c r="K534" s="65" t="str">
        <f>IFERROR(__xludf.DUMMYFUNCTION("GOOGLETRANSLATE(B534,""en"",""zh"")"),"选择主题")</f>
        <v>选择主题</v>
      </c>
      <c r="L534" s="65" t="str">
        <f>IFERROR(__xludf.DUMMYFUNCTION("GOOGLETRANSLATE(B534,""en"",""es"")"),"Seleccionar tema")</f>
        <v>Seleccionar tema</v>
      </c>
      <c r="M534" s="64" t="str">
        <f>IFERROR(__xludf.DUMMYFUNCTION("GOOGLETRANSLATE(B534,""en"",""iw"")"),"בחר ערכת נושא")</f>
        <v>בחר ערכת נושא</v>
      </c>
      <c r="N534" s="65" t="str">
        <f>IFERROR(__xludf.DUMMYFUNCTION("GOOGLETRANSLATE(B534,""en"",""bn"")"),"থিম নির্বাচন করুন")</f>
        <v>থিম নির্বাচন করুন</v>
      </c>
      <c r="O534" s="4" t="str">
        <f>IFERROR(__xludf.DUMMYFUNCTION("GOOGLETRANSLATE(B534,""en"",""pt"")"),"Selecione o tema")</f>
        <v>Selecione o tema</v>
      </c>
    </row>
    <row r="535">
      <c r="A535" s="71" t="s">
        <v>1282</v>
      </c>
      <c r="B535" s="82" t="s">
        <v>1283</v>
      </c>
      <c r="C535" s="64" t="str">
        <f>IFERROR(__xludf.DUMMYFUNCTION("GOOGLETRANSLATE(B535,""en"",""hi"")"),"इस ऐप का नया संस्करण स्टोर में उपलब्ध है, कृपया उपयोग जारी रखने के लिए ऐप को अपडेट करें")</f>
        <v>इस ऐप का नया संस्करण स्टोर में उपलब्ध है, कृपया उपयोग जारी रखने के लिए ऐप को अपडेट करें</v>
      </c>
      <c r="D535" s="65" t="str">
        <f>IFERROR(__xludf.DUMMYFUNCTION("GOOGLETRANSLATE(B535,""en"",""ar"")"),"يتوفر إصدار جديد من هذا التطبيق في المتجر، يرجى تحديث التطبيق لمواصلة استخدامه")</f>
        <v>يتوفر إصدار جديد من هذا التطبيق في المتجر، يرجى تحديث التطبيق لمواصلة استخدامه</v>
      </c>
      <c r="E535" s="65" t="str">
        <f>IFERROR(__xludf.DUMMYFUNCTION("GOOGLETRANSLATE(B535,""en"",""fr"")"),"Une nouvelle version de cette application est disponible en magasin, veuillez mettre à jour l'application pour continuer à l'utiliser")</f>
        <v>Une nouvelle version de cette application est disponible en magasin, veuillez mettre à jour l'application pour continuer à l'utiliser</v>
      </c>
      <c r="F535" s="65" t="str">
        <f>IFERROR(__xludf.DUMMYFUNCTION("GOOGLETRANSLATE(B535,""en"",""tr"")"),"Bu uygulamanın yeni sürümü mağazada mevcut, kullanmaya devam etmek için lütfen uygulamayı güncelleyin")</f>
        <v>Bu uygulamanın yeni sürümü mağazada mevcut, kullanmaya devam etmek için lütfen uygulamayı güncelleyin</v>
      </c>
      <c r="G535" s="65" t="str">
        <f>IFERROR(__xludf.DUMMYFUNCTION("GOOGLETRANSLATE(B535,""en"",""ru"")"),"Новая версия этого приложения доступна в магазине. Пожалуйста, обновите приложение, чтобы продолжить использование.")</f>
        <v>Новая версия этого приложения доступна в магазине. Пожалуйста, обновите приложение, чтобы продолжить использование.</v>
      </c>
      <c r="H535" s="65" t="str">
        <f>IFERROR(__xludf.DUMMYFUNCTION("GOOGLETRANSLATE(B535,""en"",""it"")"),"La nuova versione di questa app è disponibile nello store, aggiorna l'app per continuare a usarla")</f>
        <v>La nuova versione di questa app è disponibile nello store, aggiorna l'app per continuare a usarla</v>
      </c>
      <c r="I535" s="65" t="str">
        <f>IFERROR(__xludf.DUMMYFUNCTION("GOOGLETRANSLATE(B535,""en"",""de"")"),"Eine neue Version dieser App ist im Store verfügbar. Bitte aktualisieren Sie die App, um sie weiterhin verwenden zu können.")</f>
        <v>Eine neue Version dieser App ist im Store verfügbar. Bitte aktualisieren Sie die App, um sie weiterhin verwenden zu können.</v>
      </c>
      <c r="J535" s="65" t="str">
        <f>IFERROR(__xludf.DUMMYFUNCTION("GOOGLETRANSLATE(B535,""en"",""ko"")"),"이 앱의 새 버전이 스토어에 출시되었습니다. 계속 사용하려면 앱을 업데이트하세요.")</f>
        <v>이 앱의 새 버전이 스토어에 출시되었습니다. 계속 사용하려면 앱을 업데이트하세요.</v>
      </c>
      <c r="K535" s="65" t="str">
        <f>IFERROR(__xludf.DUMMYFUNCTION("GOOGLETRANSLATE(B535,""en"",""zh"")"),"此应用程序的新版本已在商店上线，请更新应用程序以继续使用")</f>
        <v>此应用程序的新版本已在商店上线，请更新应用程序以继续使用</v>
      </c>
      <c r="L535" s="65" t="str">
        <f>IFERROR(__xludf.DUMMYFUNCTION("GOOGLETRANSLATE(B535,""en"",""es"")"),"Hay una nueva versión de esta aplicación disponible en la tienda, actualice la aplicación para continuar usándola.")</f>
        <v>Hay una nueva versión de esta aplicación disponible en la tienda, actualice la aplicación para continuar usándola.</v>
      </c>
      <c r="M535" s="64" t="str">
        <f>IFERROR(__xludf.DUMMYFUNCTION("GOOGLETRANSLATE(B535,""en"",""iw"")"),"גרסה חדשה של אפליקציה זו זמינה בחנות, אנא עדכן את האפליקציה כדי להמשיך להשתמש")</f>
        <v>גרסה חדשה של אפליקציה זו זמינה בחנות, אנא עדכן את האפליקציה כדי להמשיך להשתמש</v>
      </c>
      <c r="N535" s="65" t="str">
        <f>IFERROR(__xludf.DUMMYFUNCTION("GOOGLETRANSLATE(B535,""en"",""bn"")"),"এই অ্যাপটির নতুন সংস্করণ স্টোরে উপলব্ধ, ব্যবহার চালিয়ে যাওয়ার জন্য অনুগ্রহ করে অ্যাপটি আপডেট করুন")</f>
        <v>এই অ্যাপটির নতুন সংস্করণ স্টোরে উপলব্ধ, ব্যবহার চালিয়ে যাওয়ার জন্য অনুগ্রহ করে অ্যাপটি আপডেট করুন</v>
      </c>
      <c r="O535" s="4" t="str">
        <f>IFERROR(__xludf.DUMMYFUNCTION("GOOGLETRANSLATE(B535,""en"",""pt"")"),"Uma nova versão deste aplicativo está disponível na loja, atualize o aplicativo para continuar usando")</f>
        <v>Uma nova versão deste aplicativo está disponível na loja, atualize o aplicativo para continuar usando</v>
      </c>
    </row>
    <row r="536">
      <c r="A536" s="71" t="s">
        <v>1284</v>
      </c>
      <c r="B536" s="72" t="s">
        <v>1285</v>
      </c>
      <c r="C536" s="64" t="str">
        <f>IFERROR(__xludf.DUMMYFUNCTION("GOOGLETRANSLATE(B536,""en"",""hi"")"),"आप 1 से अधिक वाहन प्रकार चुन सकते हैं")</f>
        <v>आप 1 से अधिक वाहन प्रकार चुन सकते हैं</v>
      </c>
      <c r="D536" s="65" t="str">
        <f>IFERROR(__xludf.DUMMYFUNCTION("GOOGLETRANSLATE(B536,""en"",""ar"")"),"يمكنك اختيار أكثر من نوع من المركبات")</f>
        <v>يمكنك اختيار أكثر من نوع من المركبات</v>
      </c>
      <c r="E536" s="65" t="str">
        <f>IFERROR(__xludf.DUMMYFUNCTION("GOOGLETRANSLATE(B536,""en"",""fr"")"),"Vous pouvez choisir plus d'un type de véhicule")</f>
        <v>Vous pouvez choisir plus d'un type de véhicule</v>
      </c>
      <c r="F536" s="65" t="str">
        <f>IFERROR(__xludf.DUMMYFUNCTION("GOOGLETRANSLATE(B536,""en"",""tr"")"),"1'den fazla araç tipi seçebilirsiniz")</f>
        <v>1'den fazla araç tipi seçebilirsiniz</v>
      </c>
      <c r="G536" s="65" t="str">
        <f>IFERROR(__xludf.DUMMYFUNCTION("GOOGLETRANSLATE(B536,""en"",""ru"")"),"Вы можете выбрать более 1 типа транспортного средства")</f>
        <v>Вы можете выбрать более 1 типа транспортного средства</v>
      </c>
      <c r="H536" s="65" t="str">
        <f>IFERROR(__xludf.DUMMYFUNCTION("GOOGLETRANSLATE(B536,""en"",""it"")"),"Puoi scegliere più di 1 tipo di veicolo")</f>
        <v>Puoi scegliere più di 1 tipo di veicolo</v>
      </c>
      <c r="I536" s="65" t="str">
        <f>IFERROR(__xludf.DUMMYFUNCTION("GOOGLETRANSLATE(B536,""en"",""de"")"),"Sie können mehr als 1 Fahrzeugtyp auswählen")</f>
        <v>Sie können mehr als 1 Fahrzeugtyp auswählen</v>
      </c>
      <c r="J536" s="65" t="str">
        <f>IFERROR(__xludf.DUMMYFUNCTION("GOOGLETRANSLATE(B536,""en"",""ko"")"),"1개 이상의 차량 유형을 선택할 수 있습니다.")</f>
        <v>1개 이상의 차량 유형을 선택할 수 있습니다.</v>
      </c>
      <c r="K536" s="65" t="str">
        <f>IFERROR(__xludf.DUMMYFUNCTION("GOOGLETRANSLATE(B536,""en"",""zh"")"),"您可以选择多种车型")</f>
        <v>您可以选择多种车型</v>
      </c>
      <c r="L536" s="65" t="str">
        <f>IFERROR(__xludf.DUMMYFUNCTION("GOOGLETRANSLATE(B536,""en"",""es"")"),"Puedes elegir más de 1 tipo de vehículo")</f>
        <v>Puedes elegir más de 1 tipo de vehículo</v>
      </c>
      <c r="M536" s="64" t="str">
        <f>IFERROR(__xludf.DUMMYFUNCTION("GOOGLETRANSLATE(B536,""en"",""iw"")"),"אתה יכול לבחור יותר מ-1 סוגי רכב")</f>
        <v>אתה יכול לבחור יותר מ-1 סוגי רכב</v>
      </c>
      <c r="N536" s="65" t="str">
        <f>IFERROR(__xludf.DUMMYFUNCTION("GOOGLETRANSLATE(B536,""en"",""bn"")"),"আপনি 1টির বেশি গাড়ির ধরন বেছে নিতে পারেন")</f>
        <v>আপনি 1টির বেশি গাড়ির ধরন বেছে নিতে পারেন</v>
      </c>
      <c r="O536" s="4" t="str">
        <f>IFERROR(__xludf.DUMMYFUNCTION("GOOGLETRANSLATE(B536,""en"",""pt"")"),"Você pode escolher mais de 1 tipo de veículo")</f>
        <v>Você pode escolher mais de 1 tipo de veículo</v>
      </c>
    </row>
    <row r="537">
      <c r="A537" s="71" t="s">
        <v>1286</v>
      </c>
      <c r="B537" s="72" t="s">
        <v>1287</v>
      </c>
      <c r="C537" s="64" t="str">
        <f>IFERROR(__xludf.DUMMYFUNCTION("GOOGLETRANSLATE(B537,""en"",""hi"")"),"बिडिंग")</f>
        <v>बिडिंग</v>
      </c>
      <c r="D537" s="65" t="str">
        <f>IFERROR(__xludf.DUMMYFUNCTION("GOOGLETRANSLATE(B537,""en"",""ar"")"),"المزايدة")</f>
        <v>المزايدة</v>
      </c>
      <c r="E537" s="65" t="str">
        <f>IFERROR(__xludf.DUMMYFUNCTION("GOOGLETRANSLATE(B537,""en"",""fr"")"),"Enchère")</f>
        <v>Enchère</v>
      </c>
      <c r="F537" s="65" t="str">
        <f>IFERROR(__xludf.DUMMYFUNCTION("GOOGLETRANSLATE(B537,""en"",""tr"")"),"Teklif verme")</f>
        <v>Teklif verme</v>
      </c>
      <c r="G537" s="65" t="str">
        <f>IFERROR(__xludf.DUMMYFUNCTION("GOOGLETRANSLATE(B537,""en"",""ru"")"),"Торги")</f>
        <v>Торги</v>
      </c>
      <c r="H537" s="65" t="str">
        <f>IFERROR(__xludf.DUMMYFUNCTION("GOOGLETRANSLATE(B537,""en"",""it"")"),"Offerta")</f>
        <v>Offerta</v>
      </c>
      <c r="I537" s="65" t="str">
        <f>IFERROR(__xludf.DUMMYFUNCTION("GOOGLETRANSLATE(B537,""en"",""de"")"),"Bieten")</f>
        <v>Bieten</v>
      </c>
      <c r="J537" s="65" t="str">
        <f>IFERROR(__xludf.DUMMYFUNCTION("GOOGLETRANSLATE(B537,""en"",""ko"")"),"입찰")</f>
        <v>입찰</v>
      </c>
      <c r="K537" s="65" t="str">
        <f>IFERROR(__xludf.DUMMYFUNCTION("GOOGLETRANSLATE(B537,""en"",""zh"")"),"投标")</f>
        <v>投标</v>
      </c>
      <c r="L537" s="65" t="str">
        <f>IFERROR(__xludf.DUMMYFUNCTION("GOOGLETRANSLATE(B537,""en"",""es"")"),"Ofertas")</f>
        <v>Ofertas</v>
      </c>
      <c r="M537" s="64" t="str">
        <f>IFERROR(__xludf.DUMMYFUNCTION("GOOGLETRANSLATE(B537,""en"",""iw"")"),"הגשת הצעות מחיר")</f>
        <v>הגשת הצעות מחיר</v>
      </c>
      <c r="N537" s="65" t="str">
        <f>IFERROR(__xludf.DUMMYFUNCTION("GOOGLETRANSLATE(B537,""en"",""bn"")"),"বিডিং")</f>
        <v>বিডিং</v>
      </c>
      <c r="O537" s="4" t="str">
        <f>IFERROR(__xludf.DUMMYFUNCTION("GOOGLETRANSLATE(B537,""en"",""pt"")"),"Licitação")</f>
        <v>Licitação</v>
      </c>
    </row>
    <row r="538">
      <c r="A538" s="71" t="s">
        <v>1288</v>
      </c>
      <c r="B538" s="72" t="s">
        <v>1289</v>
      </c>
      <c r="C538" s="64" t="str">
        <f>IFERROR(__xludf.DUMMYFUNCTION("GOOGLETRANSLATE(B538,""en"",""hi"")"),"चयनित संपर्क को एसओएस उद्देश्य के लिए हमारे सर्वर में जोड़ा जाएगा, ऐप में इस संपर्क को हटाने का विकल्प है।")</f>
        <v>चयनित संपर्क को एसओएस उद्देश्य के लिए हमारे सर्वर में जोड़ा जाएगा, ऐप में इस संपर्क को हटाने का विकल्प है।</v>
      </c>
      <c r="D538" s="65" t="str">
        <f>IFERROR(__xludf.DUMMYFUNCTION("GOOGLETRANSLATE(B538,""en"",""ar"")"),"سيتم إضافة جهة الاتصال المحددة إلى خادمنا لغرض SOS، وفي التطبيق يوجد خيار لإزالة جهات الاتصال هذه.")</f>
        <v>سيتم إضافة جهة الاتصال المحددة إلى خادمنا لغرض SOS، وفي التطبيق يوجد خيار لإزالة جهات الاتصال هذه.</v>
      </c>
      <c r="E538" s="65" t="str">
        <f>IFERROR(__xludf.DUMMYFUNCTION("GOOGLETRANSLATE(B538,""en"",""fr"")"),"Le contact sélectionné sera ajouté à notre serveur à des fins SOS. Dans l'application, il existe une option pour supprimer ces contacts.")</f>
        <v>Le contact sélectionné sera ajouté à notre serveur à des fins SOS. Dans l'application, il existe une option pour supprimer ces contacts.</v>
      </c>
      <c r="F538" s="65" t="str">
        <f>IFERROR(__xludf.DUMMYFUNCTION("GOOGLETRANSLATE(B538,""en"",""tr"")"),"Seçilen kişi SOS amacıyla sunucumuza eklenecektir. Uygulamada bu kişileri kaldırma seçeneği bulunmaktadır.")</f>
        <v>Seçilen kişi SOS amacıyla sunucumuza eklenecektir. Uygulamada bu kişileri kaldırma seçeneği bulunmaktadır.</v>
      </c>
      <c r="G538" s="65" t="str">
        <f>IFERROR(__xludf.DUMMYFUNCTION("GOOGLETRANSLATE(B538,""en"",""ru"")"),"Выбранный контакт будет добавлен на наш сервер для экстренных случаев. В приложении есть возможность удалить этот контакт.")</f>
        <v>Выбранный контакт будет добавлен на наш сервер для экстренных случаев. В приложении есть возможность удалить этот контакт.</v>
      </c>
      <c r="H538" s="65" t="str">
        <f>IFERROR(__xludf.DUMMYFUNCTION("GOOGLETRANSLATE(B538,""en"",""it"")"),"Il contatto selezionato verrà aggiunto al nostro server per scopi SOS. Nell'app è presente un'opzione per rimuovere questo contatto.")</f>
        <v>Il contatto selezionato verrà aggiunto al nostro server per scopi SOS. Nell'app è presente un'opzione per rimuovere questo contatto.</v>
      </c>
      <c r="I538" s="65" t="str">
        <f>IFERROR(__xludf.DUMMYFUNCTION("GOOGLETRANSLATE(B538,""en"",""de"")"),"Der ausgewählte Kontakt wird zu SOS-Zwecken unserem Server hinzugefügt. In der App gibt es eine Option zum Entfernen dieser Kontakte.")</f>
        <v>Der ausgewählte Kontakt wird zu SOS-Zwecken unserem Server hinzugefügt. In der App gibt es eine Option zum Entfernen dieser Kontakte.</v>
      </c>
      <c r="J538" s="65" t="str">
        <f>IFERROR(__xludf.DUMMYFUNCTION("GOOGLETRANSLATE(B538,""en"",""ko"")"),"선택된 연락처는 SOS 목적으로 서버에 추가됩니다. 앱에는 이 연락처를 제거하는 옵션이 있습니다.")</f>
        <v>선택된 연락처는 SOS 목적으로 서버에 추가됩니다. 앱에는 이 연락처를 제거하는 옵션이 있습니다.</v>
      </c>
      <c r="K538" s="65" t="str">
        <f>IFERROR(__xludf.DUMMYFUNCTION("GOOGLETRANSLATE(B538,""en"",""zh"")"),"所选联系人将被添加到我们的服务器中以用于 SOS 目的，应用程序中有一个选项可以删除此联系人。")</f>
        <v>所选联系人将被添加到我们的服务器中以用于 SOS 目的，应用程序中有一个选项可以删除此联系人。</v>
      </c>
      <c r="L538" s="65" t="str">
        <f>IFERROR(__xludf.DUMMYFUNCTION("GOOGLETRANSLATE(B538,""en"",""es"")"),"El contacto seleccionado se agregará a nuestro servidor para fines SOS. En la aplicación hay una opción para eliminar estos contactos.")</f>
        <v>El contacto seleccionado se agregará a nuestro servidor para fines SOS. En la aplicación hay una opción para eliminar estos contactos.</v>
      </c>
      <c r="M538" s="64" t="str">
        <f>IFERROR(__xludf.DUMMYFUNCTION("GOOGLETRANSLATE(B538,""en"",""iw"")"),"איש הקשר הנבחר יתווסף בשרת שלנו למטרת SOS, באפליקציה יש אפשרות להסיר את אנשי הקשר הללו.")</f>
        <v>איש הקשר הנבחר יתווסף בשרת שלנו למטרת SOS, באפליקציה יש אפשרות להסיר את אנשי הקשר הללו.</v>
      </c>
      <c r="N538" s="65" t="str">
        <f>IFERROR(__xludf.DUMMYFUNCTION("GOOGLETRANSLATE(B538,""en"",""bn"")"),"নির্বাচিত পরিচিতি SOS উদ্দেশ্যে আমাদের সার্ভারে যোগ করা হবে, অ্যাপে এই পরিচিতিগুলি সরানোর বিকল্প রয়েছে।")</f>
        <v>নির্বাচিত পরিচিতি SOS উদ্দেশ্যে আমাদের সার্ভারে যোগ করা হবে, অ্যাপে এই পরিচিতিগুলি সরানোর বিকল্প রয়েছে।</v>
      </c>
      <c r="O538" s="4" t="str">
        <f>IFERROR(__xludf.DUMMYFUNCTION("GOOGLETRANSLATE(B538,""en"",""pt"")"),"O contato selecionado será adicionado ao nosso servidor para fins de SOS. No aplicativo, há uma opção para remover esses contatos.")</f>
        <v>O contato selecionado será adicionado ao nosso servidor para fins de SOS. No aplicativo, há uma opção para remover esses contatos.</v>
      </c>
    </row>
    <row r="539">
      <c r="A539" s="83" t="s">
        <v>1290</v>
      </c>
      <c r="B539" s="84" t="s">
        <v>1291</v>
      </c>
      <c r="C539" s="64" t="str">
        <f>IFERROR(__xludf.DUMMYFUNCTION("GOOGLETRANSLATE(B539,""en"",""hi"")"),"भुगतान प्राप्त")</f>
        <v>भुगतान प्राप्त</v>
      </c>
      <c r="D539" s="65" t="str">
        <f>IFERROR(__xludf.DUMMYFUNCTION("GOOGLETRANSLATE(B539,""en"",""ar"")"),"تم استلام الدفع")</f>
        <v>تم استلام الدفع</v>
      </c>
      <c r="E539" s="65" t="str">
        <f>IFERROR(__xludf.DUMMYFUNCTION("GOOGLETRANSLATE(B539,""en"",""fr"")"),"Paiement reçu")</f>
        <v>Paiement reçu</v>
      </c>
      <c r="F539" s="65" t="str">
        <f>IFERROR(__xludf.DUMMYFUNCTION("GOOGLETRANSLATE(B539,""en"",""tr"")"),"Ödeme Alındı")</f>
        <v>Ödeme Alındı</v>
      </c>
      <c r="G539" s="65" t="str">
        <f>IFERROR(__xludf.DUMMYFUNCTION("GOOGLETRANSLATE(B539,""en"",""ru"")"),"Платеж получен")</f>
        <v>Платеж получен</v>
      </c>
      <c r="H539" s="65" t="str">
        <f>IFERROR(__xludf.DUMMYFUNCTION("GOOGLETRANSLATE(B539,""en"",""it"")"),"Pagamento ricevuto")</f>
        <v>Pagamento ricevuto</v>
      </c>
      <c r="I539" s="65" t="str">
        <f>IFERROR(__xludf.DUMMYFUNCTION("GOOGLETRANSLATE(B539,""en"",""de"")"),"Zahlung erhalten")</f>
        <v>Zahlung erhalten</v>
      </c>
      <c r="J539" s="65" t="str">
        <f>IFERROR(__xludf.DUMMYFUNCTION("GOOGLETRANSLATE(B539,""en"",""ko"")"),"결제 완료")</f>
        <v>결제 완료</v>
      </c>
      <c r="K539" s="65" t="str">
        <f>IFERROR(__xludf.DUMMYFUNCTION("GOOGLETRANSLATE(B539,""en"",""zh"")"),"已收到付款")</f>
        <v>已收到付款</v>
      </c>
      <c r="L539" s="65" t="str">
        <f>IFERROR(__xludf.DUMMYFUNCTION("GOOGLETRANSLATE(B539,""en"",""es"")"),"Pago recibido")</f>
        <v>Pago recibido</v>
      </c>
      <c r="M539" s="64" t="str">
        <f>IFERROR(__xludf.DUMMYFUNCTION("GOOGLETRANSLATE(B539,""en"",""iw"")"),"התשלום התקבל")</f>
        <v>התשלום התקבל</v>
      </c>
      <c r="N539" s="65" t="str">
        <f>IFERROR(__xludf.DUMMYFUNCTION("GOOGLETRANSLATE(B539,""en"",""bn"")"),"পেমেন্ট প্রাপ্ত")</f>
        <v>পেমেন্ট প্রাপ্ত</v>
      </c>
      <c r="O539" s="4" t="str">
        <f>IFERROR(__xludf.DUMMYFUNCTION("GOOGLETRANSLATE(B539,""en"",""pt"")"),"Pagamento recebido")</f>
        <v>Pagamento recebido</v>
      </c>
    </row>
    <row r="540">
      <c r="A540" s="14" t="s">
        <v>1292</v>
      </c>
      <c r="B540" s="14" t="s">
        <v>1293</v>
      </c>
      <c r="C540" s="64" t="str">
        <f>IFERROR(__xludf.DUMMYFUNCTION("GOOGLETRANSLATE(B540,""en"",""hi"")"),"आपका ईमेल क्या है?")</f>
        <v>आपका ईमेल क्या है?</v>
      </c>
      <c r="D540" s="65" t="str">
        <f>IFERROR(__xludf.DUMMYFUNCTION("GOOGLETRANSLATE(B540,""en"",""ar"")"),"ما هو بريدك الالكتروني؟")</f>
        <v>ما هو بريدك الالكتروني؟</v>
      </c>
      <c r="E540" s="65" t="str">
        <f>IFERROR(__xludf.DUMMYFUNCTION("GOOGLETRANSLATE(B540,""en"",""fr"")"),"Quel est ton email ?")</f>
        <v>Quel est ton email ?</v>
      </c>
      <c r="F540" s="65" t="str">
        <f>IFERROR(__xludf.DUMMYFUNCTION("GOOGLETRANSLATE(B540,""en"",""tr"")"),"E-postanız nedir?")</f>
        <v>E-postanız nedir?</v>
      </c>
      <c r="G540" s="65" t="str">
        <f>IFERROR(__xludf.DUMMYFUNCTION("GOOGLETRANSLATE(B540,""en"",""ru"")"),"Какой у вас адрес электронной почты?")</f>
        <v>Какой у вас адрес электронной почты?</v>
      </c>
      <c r="H540" s="65" t="str">
        <f>IFERROR(__xludf.DUMMYFUNCTION("GOOGLETRANSLATE(B540,""en"",""it"")"),"Qual è la tua email?")</f>
        <v>Qual è la tua email?</v>
      </c>
      <c r="I540" s="65" t="str">
        <f>IFERROR(__xludf.DUMMYFUNCTION("GOOGLETRANSLATE(B540,""en"",""de"")"),"Wie lautet Ihre E-Mail-Adresse?")</f>
        <v>Wie lautet Ihre E-Mail-Adresse?</v>
      </c>
      <c r="J540" s="65" t="str">
        <f>IFERROR(__xludf.DUMMYFUNCTION("GOOGLETRANSLATE(B540,""en"",""ko"")"),"귀하의 이메일은 무엇입니까?")</f>
        <v>귀하의 이메일은 무엇입니까?</v>
      </c>
      <c r="K540" s="65" t="str">
        <f>IFERROR(__xludf.DUMMYFUNCTION("GOOGLETRANSLATE(B540,""en"",""zh"")"),"您的电子邮箱是什么？")</f>
        <v>您的电子邮箱是什么？</v>
      </c>
      <c r="L540" s="65" t="str">
        <f>IFERROR(__xludf.DUMMYFUNCTION("GOOGLETRANSLATE(B540,""en"",""es"")"),"¿Cual es tu correo electrónico?")</f>
        <v>¿Cual es tu correo electrónico?</v>
      </c>
      <c r="M540" s="64" t="str">
        <f>IFERROR(__xludf.DUMMYFUNCTION("GOOGLETRANSLATE(B540,""en"",""iw"")"),"מה האימייל שלך?")</f>
        <v>מה האימייל שלך?</v>
      </c>
      <c r="N540" s="65" t="str">
        <f>IFERROR(__xludf.DUMMYFUNCTION("GOOGLETRANSLATE(B540,""en"",""bn"")"),"আপনার ইমেইল কি?")</f>
        <v>আপনার ইমেইল কি?</v>
      </c>
      <c r="O540" s="4" t="str">
        <f>IFERROR(__xludf.DUMMYFUNCTION("GOOGLETRANSLATE(B540,""en"",""pt"")"),"Qual é seu e-mail?")</f>
        <v>Qual é seu e-mail?</v>
      </c>
    </row>
    <row r="541">
      <c r="A541" s="14" t="s">
        <v>1294</v>
      </c>
      <c r="B541" s="14" t="s">
        <v>1295</v>
      </c>
      <c r="C541" s="64" t="str">
        <f>IFERROR(__xludf.DUMMYFUNCTION("GOOGLETRANSLATE(B541,""en"",""hi"")"),"टैक्सी")</f>
        <v>टैक्सी</v>
      </c>
      <c r="D541" s="65" t="str">
        <f>IFERROR(__xludf.DUMMYFUNCTION("GOOGLETRANSLATE(B541,""en"",""ar"")"),"تاكسي")</f>
        <v>تاكسي</v>
      </c>
      <c r="E541" s="65" t="str">
        <f>IFERROR(__xludf.DUMMYFUNCTION("GOOGLETRANSLATE(B541,""en"",""fr"")"),"Taxi")</f>
        <v>Taxi</v>
      </c>
      <c r="F541" s="65" t="str">
        <f>IFERROR(__xludf.DUMMYFUNCTION("GOOGLETRANSLATE(B541,""en"",""tr"")"),"Taksi")</f>
        <v>Taksi</v>
      </c>
      <c r="G541" s="65" t="str">
        <f>IFERROR(__xludf.DUMMYFUNCTION("GOOGLETRANSLATE(B541,""en"",""ru"")"),"Такси")</f>
        <v>Такси</v>
      </c>
      <c r="H541" s="65" t="str">
        <f>IFERROR(__xludf.DUMMYFUNCTION("GOOGLETRANSLATE(B541,""en"",""it"")"),"Taxi")</f>
        <v>Taxi</v>
      </c>
      <c r="I541" s="65" t="str">
        <f>IFERROR(__xludf.DUMMYFUNCTION("GOOGLETRANSLATE(B541,""en"",""de"")"),"Taxi")</f>
        <v>Taxi</v>
      </c>
      <c r="J541" s="65" t="str">
        <f>IFERROR(__xludf.DUMMYFUNCTION("GOOGLETRANSLATE(B541,""en"",""ko"")"),"택시")</f>
        <v>택시</v>
      </c>
      <c r="K541" s="65" t="str">
        <f>IFERROR(__xludf.DUMMYFUNCTION("GOOGLETRANSLATE(B541,""en"",""zh"")"),"出租车")</f>
        <v>出租车</v>
      </c>
      <c r="L541" s="65" t="str">
        <f>IFERROR(__xludf.DUMMYFUNCTION("GOOGLETRANSLATE(B541,""en"",""es"")"),"Taxi")</f>
        <v>Taxi</v>
      </c>
      <c r="M541" s="64" t="str">
        <f>IFERROR(__xludf.DUMMYFUNCTION("GOOGLETRANSLATE(B541,""en"",""iw"")"),"מוֹנִית")</f>
        <v>מוֹנִית</v>
      </c>
      <c r="N541" s="65" t="str">
        <f>IFERROR(__xludf.DUMMYFUNCTION("GOOGLETRANSLATE(B541,""en"",""bn"")"),"ট্যাক্সি")</f>
        <v>ট্যাক্সি</v>
      </c>
      <c r="O541" s="4" t="str">
        <f>IFERROR(__xludf.DUMMYFUNCTION("GOOGLETRANSLATE(B541,""en"",""pt"")"),"Táxi")</f>
        <v>Táxi</v>
      </c>
    </row>
    <row r="542">
      <c r="A542" s="14" t="s">
        <v>1296</v>
      </c>
      <c r="B542" s="14" t="s">
        <v>1297</v>
      </c>
      <c r="C542" s="64" t="str">
        <f>IFERROR(__xludf.DUMMYFUNCTION("GOOGLETRANSLATE(B542,""en"",""hi"")"),"दोनों")</f>
        <v>दोनों</v>
      </c>
      <c r="D542" s="65" t="str">
        <f>IFERROR(__xludf.DUMMYFUNCTION("GOOGLETRANSLATE(B542,""en"",""ar"")"),"كلاهما")</f>
        <v>كلاهما</v>
      </c>
      <c r="E542" s="65" t="str">
        <f>IFERROR(__xludf.DUMMYFUNCTION("GOOGLETRANSLATE(B542,""en"",""fr"")"),"Les deux")</f>
        <v>Les deux</v>
      </c>
      <c r="F542" s="65" t="str">
        <f>IFERROR(__xludf.DUMMYFUNCTION("GOOGLETRANSLATE(B542,""en"",""tr"")"),"İkisi birden")</f>
        <v>İkisi birden</v>
      </c>
      <c r="G542" s="65" t="str">
        <f>IFERROR(__xludf.DUMMYFUNCTION("GOOGLETRANSLATE(B542,""en"",""ru"")"),"Оба")</f>
        <v>Оба</v>
      </c>
      <c r="H542" s="65" t="str">
        <f>IFERROR(__xludf.DUMMYFUNCTION("GOOGLETRANSLATE(B542,""en"",""it"")"),"Entrambi")</f>
        <v>Entrambi</v>
      </c>
      <c r="I542" s="65" t="str">
        <f>IFERROR(__xludf.DUMMYFUNCTION("GOOGLETRANSLATE(B542,""en"",""de"")"),"Beide")</f>
        <v>Beide</v>
      </c>
      <c r="J542" s="65" t="str">
        <f>IFERROR(__xludf.DUMMYFUNCTION("GOOGLETRANSLATE(B542,""en"",""ko"")"),"둘 다")</f>
        <v>둘 다</v>
      </c>
      <c r="K542" s="65" t="str">
        <f>IFERROR(__xludf.DUMMYFUNCTION("GOOGLETRANSLATE(B542,""en"",""zh"")"),"两个都")</f>
        <v>两个都</v>
      </c>
      <c r="L542" s="65" t="str">
        <f>IFERROR(__xludf.DUMMYFUNCTION("GOOGLETRANSLATE(B542,""en"",""es"")"),"Ambos")</f>
        <v>Ambos</v>
      </c>
      <c r="M542" s="64" t="str">
        <f>IFERROR(__xludf.DUMMYFUNCTION("GOOGLETRANSLATE(B542,""en"",""iw"")"),"שְׁנֵיהֶם")</f>
        <v>שְׁנֵיהֶם</v>
      </c>
      <c r="N542" s="65" t="str">
        <f>IFERROR(__xludf.DUMMYFUNCTION("GOOGLETRANSLATE(B542,""en"",""bn"")"),"উভয়")</f>
        <v>উভয়</v>
      </c>
      <c r="O542" s="4" t="str">
        <f>IFERROR(__xludf.DUMMYFUNCTION("GOOGLETRANSLATE(B542,""en"",""pt"")"),"Ambos")</f>
        <v>Ambos</v>
      </c>
    </row>
    <row r="543">
      <c r="A543" s="14" t="s">
        <v>1298</v>
      </c>
      <c r="B543" s="14" t="s">
        <v>1299</v>
      </c>
      <c r="C543" s="64" t="str">
        <f>IFERROR(__xludf.DUMMYFUNCTION("GOOGLETRANSLATE(B543,""en"",""hi"")"),"आपका सेवा स्थान क्या है?")</f>
        <v>आपका सेवा स्थान क्या है?</v>
      </c>
      <c r="D543" s="65" t="str">
        <f>IFERROR(__xludf.DUMMYFUNCTION("GOOGLETRANSLATE(B543,""en"",""ar"")"),"ما هو موقع خدمتك؟")</f>
        <v>ما هو موقع خدمتك؟</v>
      </c>
      <c r="E543" s="65" t="str">
        <f>IFERROR(__xludf.DUMMYFUNCTION("GOOGLETRANSLATE(B543,""en"",""fr"")"),"Quel est votre emplacement de service")</f>
        <v>Quel est votre emplacement de service</v>
      </c>
      <c r="F543" s="65" t="str">
        <f>IFERROR(__xludf.DUMMYFUNCTION("GOOGLETRANSLATE(B543,""en"",""tr"")"),"Hizmet konumunuz nedir?")</f>
        <v>Hizmet konumunuz nedir?</v>
      </c>
      <c r="G543" s="65" t="str">
        <f>IFERROR(__xludf.DUMMYFUNCTION("GOOGLETRANSLATE(B543,""en"",""ru"")"),"Где находится ваше обслуживание?")</f>
        <v>Где находится ваше обслуживание?</v>
      </c>
      <c r="H543" s="65" t="str">
        <f>IFERROR(__xludf.DUMMYFUNCTION("GOOGLETRANSLATE(B543,""en"",""it"")"),"Qual è la tua posizione di servizio?")</f>
        <v>Qual è la tua posizione di servizio?</v>
      </c>
      <c r="I543" s="65" t="str">
        <f>IFERROR(__xludf.DUMMYFUNCTION("GOOGLETRANSLATE(B543,""en"",""de"")"),"Was ist Ihr Service-Standort")</f>
        <v>Was ist Ihr Service-Standort</v>
      </c>
      <c r="J543" s="65" t="str">
        <f>IFERROR(__xludf.DUMMYFUNCTION("GOOGLETRANSLATE(B543,""en"",""ko"")"),"귀하의 서비스 위치는 어디입니까?")</f>
        <v>귀하의 서비스 위치는 어디입니까?</v>
      </c>
      <c r="K543" s="65" t="str">
        <f>IFERROR(__xludf.DUMMYFUNCTION("GOOGLETRANSLATE(B543,""en"",""zh"")"),"您的服务地点在哪里")</f>
        <v>您的服务地点在哪里</v>
      </c>
      <c r="L543" s="65" t="str">
        <f>IFERROR(__xludf.DUMMYFUNCTION("GOOGLETRANSLATE(B543,""en"",""es"")"),"¿Cuál es su ubicación de servicio?")</f>
        <v>¿Cuál es su ubicación de servicio?</v>
      </c>
      <c r="M543" s="64" t="str">
        <f>IFERROR(__xludf.DUMMYFUNCTION("GOOGLETRANSLATE(B543,""en"",""iw"")"),"מה מיקום השירות שלך")</f>
        <v>מה מיקום השירות שלך</v>
      </c>
      <c r="N543" s="65" t="str">
        <f>IFERROR(__xludf.DUMMYFUNCTION("GOOGLETRANSLATE(B543,""en"",""bn"")"),"আপনার পরিষেবা অবস্থান কি")</f>
        <v>আপনার পরিষেবা অবস্থান কি</v>
      </c>
      <c r="O543" s="4" t="str">
        <f>IFERROR(__xludf.DUMMYFUNCTION("GOOGLETRANSLATE(B543,""en"",""pt"")"),"Qual é o seu local de serviço?")</f>
        <v>Qual é o seu local de serviço?</v>
      </c>
    </row>
    <row r="544">
      <c r="A544" s="14" t="s">
        <v>1300</v>
      </c>
      <c r="B544" s="14" t="s">
        <v>1301</v>
      </c>
      <c r="C544" s="64" t="str">
        <f>IFERROR(__xludf.DUMMYFUNCTION("GOOGLETRANSLATE(B544,""en"",""hi"")"),"पिकअप स्थान खोजें")</f>
        <v>पिकअप स्थान खोजें</v>
      </c>
      <c r="D544" s="65" t="str">
        <f>IFERROR(__xludf.DUMMYFUNCTION("GOOGLETRANSLATE(B544,""en"",""ar"")"),"البحث عن موقع الاستلام")</f>
        <v>البحث عن موقع الاستلام</v>
      </c>
      <c r="E544" s="65" t="str">
        <f>IFERROR(__xludf.DUMMYFUNCTION("GOOGLETRANSLATE(B544,""en"",""fr"")"),"rechercher un lieu de ramassage")</f>
        <v>rechercher un lieu de ramassage</v>
      </c>
      <c r="F544" s="65" t="str">
        <f>IFERROR(__xludf.DUMMYFUNCTION("GOOGLETRANSLATE(B544,""en"",""tr"")"),"teslim alma yerini ara")</f>
        <v>teslim alma yerini ara</v>
      </c>
      <c r="G544" s="65" t="str">
        <f>IFERROR(__xludf.DUMMYFUNCTION("GOOGLETRANSLATE(B544,""en"",""ru"")"),"поиск места получения")</f>
        <v>поиск места получения</v>
      </c>
      <c r="H544" s="65" t="str">
        <f>IFERROR(__xludf.DUMMYFUNCTION("GOOGLETRANSLATE(B544,""en"",""it"")"),"cerca il luogo di ritiro")</f>
        <v>cerca il luogo di ritiro</v>
      </c>
      <c r="I544" s="65" t="str">
        <f>IFERROR(__xludf.DUMMYFUNCTION("GOOGLETRANSLATE(B544,""en"",""de"")"),"Abholort suchen")</f>
        <v>Abholort suchen</v>
      </c>
      <c r="J544" s="65" t="str">
        <f>IFERROR(__xludf.DUMMYFUNCTION("GOOGLETRANSLATE(B544,""en"",""ko"")"),"픽업 장소 검색")</f>
        <v>픽업 장소 검색</v>
      </c>
      <c r="K544" s="65" t="str">
        <f>IFERROR(__xludf.DUMMYFUNCTION("GOOGLETRANSLATE(B544,""en"",""zh"")"),"搜索取货地点")</f>
        <v>搜索取货地点</v>
      </c>
      <c r="L544" s="65" t="str">
        <f>IFERROR(__xludf.DUMMYFUNCTION("GOOGLETRANSLATE(B544,""en"",""es"")"),"buscar lugar de recogida")</f>
        <v>buscar lugar de recogida</v>
      </c>
      <c r="M544" s="64" t="str">
        <f>IFERROR(__xludf.DUMMYFUNCTION("GOOGLETRANSLATE(B544,""en"",""iw"")"),"חיפוש מיקום איסוף")</f>
        <v>חיפוש מיקום איסוף</v>
      </c>
      <c r="N544" s="65" t="str">
        <f>IFERROR(__xludf.DUMMYFUNCTION("GOOGLETRANSLATE(B544,""en"",""bn"")"),"পিকআপ অবস্থান অনুসন্ধান করুন")</f>
        <v>পিকআপ অবস্থান অনুসন্ধান করুন</v>
      </c>
      <c r="O544" s="4" t="str">
        <f>IFERROR(__xludf.DUMMYFUNCTION("GOOGLETRANSLATE(B544,""en"",""pt"")"),"pesquisar local de retirada")</f>
        <v>pesquisar local de retirada</v>
      </c>
    </row>
    <row r="545">
      <c r="A545" s="14" t="s">
        <v>1302</v>
      </c>
      <c r="B545" s="14" t="s">
        <v>1303</v>
      </c>
      <c r="C545" s="64" t="str">
        <f>IFERROR(__xludf.DUMMYFUNCTION("GOOGLETRANSLATE(B545,""en"",""hi"")"),"शिकायत न्यूनतम 10 अक्षरों की होनी चाहिए")</f>
        <v>शिकायत न्यूनतम 10 अक्षरों की होनी चाहिए</v>
      </c>
      <c r="D545" s="65" t="str">
        <f>IFERROR(__xludf.DUMMYFUNCTION("GOOGLETRANSLATE(B545,""en"",""ar"")"),"يجب أن تتكون الشكوى من 10 أحرف على الأقل")</f>
        <v>يجب أن تتكون الشكوى من 10 أحرف على الأقل</v>
      </c>
      <c r="E545" s="65" t="str">
        <f>IFERROR(__xludf.DUMMYFUNCTION("GOOGLETRANSLATE(B545,""en"",""fr"")"),"La plainte doit comporter au moins 10 caractères")</f>
        <v>La plainte doit comporter au moins 10 caractères</v>
      </c>
      <c r="F545" s="65" t="str">
        <f>IFERROR(__xludf.DUMMYFUNCTION("GOOGLETRANSLATE(B545,""en"",""tr"")"),"Şikayet en az 10 karakter olmalıdır")</f>
        <v>Şikayet en az 10 karakter olmalıdır</v>
      </c>
      <c r="G545" s="65" t="str">
        <f>IFERROR(__xludf.DUMMYFUNCTION("GOOGLETRANSLATE(B545,""en"",""ru"")"),"Жалоба должна быть длиной не менее 10 символов.")</f>
        <v>Жалоба должна быть длиной не менее 10 символов.</v>
      </c>
      <c r="H545" s="65" t="str">
        <f>IFERROR(__xludf.DUMMYFUNCTION("GOOGLETRANSLATE(B545,""en"",""it"")"),"Il reclamo deve contenere almeno 10 caratteri")</f>
        <v>Il reclamo deve contenere almeno 10 caratteri</v>
      </c>
      <c r="I545" s="65" t="str">
        <f>IFERROR(__xludf.DUMMYFUNCTION("GOOGLETRANSLATE(B545,""en"",""de"")"),"Die Beschwerde muss mindestens 10 Zeichen umfassen")</f>
        <v>Die Beschwerde muss mindestens 10 Zeichen umfassen</v>
      </c>
      <c r="J545" s="65" t="str">
        <f>IFERROR(__xludf.DUMMYFUNCTION("GOOGLETRANSLATE(B545,""en"",""ko"")"),"불만사항은 최소 10자 이상이어야 합니다.")</f>
        <v>불만사항은 최소 10자 이상이어야 합니다.</v>
      </c>
      <c r="K545" s="65" t="str">
        <f>IFERROR(__xludf.DUMMYFUNCTION("GOOGLETRANSLATE(B545,""en"",""zh"")"),"投诉必须至少 10 个字符")</f>
        <v>投诉必须至少 10 个字符</v>
      </c>
      <c r="L545" s="65" t="str">
        <f>IFERROR(__xludf.DUMMYFUNCTION("GOOGLETRANSLATE(B545,""en"",""es"")"),"La queja debe tener un mínimo de 10 caracteres.")</f>
        <v>La queja debe tener un mínimo de 10 caracteres.</v>
      </c>
      <c r="M545" s="64" t="str">
        <f>IFERROR(__xludf.DUMMYFUNCTION("GOOGLETRANSLATE(B545,""en"",""iw"")"),"התלונה חייבת להכיל מינימום 10 תווים")</f>
        <v>התלונה חייבת להכיל מינימום 10 תווים</v>
      </c>
      <c r="N545" s="65" t="str">
        <f>IFERROR(__xludf.DUMMYFUNCTION("GOOGLETRANSLATE(B545,""en"",""bn"")"),"অভিযোগ ন্যূনতম 10 অক্ষরের হতে হবে")</f>
        <v>অভিযোগ ন্যূনতম 10 অক্ষরের হতে হবে</v>
      </c>
      <c r="O545" s="4" t="str">
        <f>IFERROR(__xludf.DUMMYFUNCTION("GOOGLETRANSLATE(B545,""en"",""pt"")"),"A reclamação deve ter no mínimo 10 caracteres")</f>
        <v>A reclamação deve ter no mínimo 10 caracteres</v>
      </c>
    </row>
    <row r="546">
      <c r="A546" s="14" t="s">
        <v>1304</v>
      </c>
      <c r="B546" s="14" t="s">
        <v>1305</v>
      </c>
      <c r="C546" s="64" t="str">
        <f>IFERROR(__xludf.DUMMYFUNCTION("GOOGLETRANSLATE(B546,""en"",""hi"")"),"आपका खाता अस्वीकृत कर दिया गया है")</f>
        <v>आपका खाता अस्वीकृत कर दिया गया है</v>
      </c>
      <c r="D546" s="65" t="str">
        <f>IFERROR(__xludf.DUMMYFUNCTION("GOOGLETRANSLATE(B546,""en"",""ar"")"),"تم رفض حسابك")</f>
        <v>تم رفض حسابك</v>
      </c>
      <c r="E546" s="65" t="str">
        <f>IFERROR(__xludf.DUMMYFUNCTION("GOOGLETRANSLATE(B546,""en"",""fr"")"),"Votre compte est refusé")</f>
        <v>Votre compte est refusé</v>
      </c>
      <c r="F546" s="65" t="str">
        <f>IFERROR(__xludf.DUMMYFUNCTION("GOOGLETRANSLATE(B546,""en"",""tr"")"),"Hesabınız Reddedildi")</f>
        <v>Hesabınız Reddedildi</v>
      </c>
      <c r="G546" s="65" t="str">
        <f>IFERROR(__xludf.DUMMYFUNCTION("GOOGLETRANSLATE(B546,""en"",""ru"")"),"Ваш аккаунт отклонен")</f>
        <v>Ваш аккаунт отклонен</v>
      </c>
      <c r="H546" s="65" t="str">
        <f>IFERROR(__xludf.DUMMYFUNCTION("GOOGLETRANSLATE(B546,""en"",""it"")"),"Il tuo account è stato rifiutato")</f>
        <v>Il tuo account è stato rifiutato</v>
      </c>
      <c r="I546" s="65" t="str">
        <f>IFERROR(__xludf.DUMMYFUNCTION("GOOGLETRANSLATE(B546,""en"",""de"")"),"Ihr Konto wurde abgelehnt")</f>
        <v>Ihr Konto wurde abgelehnt</v>
      </c>
      <c r="J546" s="65" t="str">
        <f>IFERROR(__xludf.DUMMYFUNCTION("GOOGLETRANSLATE(B546,""en"",""ko"")"),"귀하의 계정이 거부되었습니다")</f>
        <v>귀하의 계정이 거부되었습니다</v>
      </c>
      <c r="K546" s="65" t="str">
        <f>IFERROR(__xludf.DUMMYFUNCTION("GOOGLETRANSLATE(B546,""en"",""zh"")"),"您的帐户已被拒绝")</f>
        <v>您的帐户已被拒绝</v>
      </c>
      <c r="L546" s="65" t="str">
        <f>IFERROR(__xludf.DUMMYFUNCTION("GOOGLETRANSLATE(B546,""en"",""es"")"),"Su cuenta ha sido rechazada")</f>
        <v>Su cuenta ha sido rechazada</v>
      </c>
      <c r="M546" s="64" t="str">
        <f>IFERROR(__xludf.DUMMYFUNCTION("GOOGLETRANSLATE(B546,""en"",""iw"")"),"חשבונך נדחה")</f>
        <v>חשבונך נדחה</v>
      </c>
      <c r="N546" s="65" t="str">
        <f>IFERROR(__xludf.DUMMYFUNCTION("GOOGLETRANSLATE(B546,""en"",""bn"")"),"আপনার অ্যাকাউন্ট প্রত্যাখ্যান করা হয়েছে")</f>
        <v>আপনার অ্যাকাউন্ট প্রত্যাখ্যান করা হয়েছে</v>
      </c>
      <c r="O546" s="4" t="str">
        <f>IFERROR(__xludf.DUMMYFUNCTION("GOOGLETRANSLATE(B546,""en"",""pt"")"),"Sua conta foi recusada")</f>
        <v>Sua conta foi recusada</v>
      </c>
    </row>
    <row r="547">
      <c r="A547" s="14" t="s">
        <v>1306</v>
      </c>
      <c r="B547" s="14" t="s">
        <v>1307</v>
      </c>
      <c r="C547" s="64" t="str">
        <f>IFERROR(__xludf.DUMMYFUNCTION("GOOGLETRANSLATE(B547,""en"",""hi"")"),"अस्वीकृत कारण")</f>
        <v>अस्वीकृत कारण</v>
      </c>
      <c r="D547" s="65" t="str">
        <f>IFERROR(__xludf.DUMMYFUNCTION("GOOGLETRANSLATE(B547,""en"",""ar"")"),"سبب الرفض")</f>
        <v>سبب الرفض</v>
      </c>
      <c r="E547" s="65" t="str">
        <f>IFERROR(__xludf.DUMMYFUNCTION("GOOGLETRANSLATE(B547,""en"",""fr"")"),"Motif du refus")</f>
        <v>Motif du refus</v>
      </c>
      <c r="F547" s="65" t="str">
        <f>IFERROR(__xludf.DUMMYFUNCTION("GOOGLETRANSLATE(B547,""en"",""tr"")"),"Reddedilme Nedeni")</f>
        <v>Reddedilme Nedeni</v>
      </c>
      <c r="G547" s="65" t="str">
        <f>IFERROR(__xludf.DUMMYFUNCTION("GOOGLETRANSLATE(B547,""en"",""ru"")"),"Причина отклонения")</f>
        <v>Причина отклонения</v>
      </c>
      <c r="H547" s="65" t="str">
        <f>IFERROR(__xludf.DUMMYFUNCTION("GOOGLETRANSLATE(B547,""en"",""it"")"),"Motivo del rifiuto")</f>
        <v>Motivo del rifiuto</v>
      </c>
      <c r="I547" s="65" t="str">
        <f>IFERROR(__xludf.DUMMYFUNCTION("GOOGLETRANSLATE(B547,""en"",""de"")"),"Grund für Ablehnung")</f>
        <v>Grund für Ablehnung</v>
      </c>
      <c r="J547" s="65" t="str">
        <f>IFERROR(__xludf.DUMMYFUNCTION("GOOGLETRANSLATE(B547,""en"",""ko"")"),"거부 사유")</f>
        <v>거부 사유</v>
      </c>
      <c r="K547" s="65" t="str">
        <f>IFERROR(__xludf.DUMMYFUNCTION("GOOGLETRANSLATE(B547,""en"",""zh"")"),"拒绝原因")</f>
        <v>拒绝原因</v>
      </c>
      <c r="L547" s="65" t="str">
        <f>IFERROR(__xludf.DUMMYFUNCTION("GOOGLETRANSLATE(B547,""en"",""es"")"),"Motivo de rechazo")</f>
        <v>Motivo de rechazo</v>
      </c>
      <c r="M547" s="64" t="str">
        <f>IFERROR(__xludf.DUMMYFUNCTION("GOOGLETRANSLATE(B547,""en"",""iw"")"),"סיבת דחיה")</f>
        <v>סיבת דחיה</v>
      </c>
      <c r="N547" s="65" t="str">
        <f>IFERROR(__xludf.DUMMYFUNCTION("GOOGLETRANSLATE(B547,""en"",""bn"")"),"প্রত্যাখ্যান কারণ")</f>
        <v>প্রত্যাখ্যান কারণ</v>
      </c>
      <c r="O547" s="4" t="str">
        <f>IFERROR(__xludf.DUMMYFUNCTION("GOOGLETRANSLATE(B547,""en"",""pt"")"),"Motivo da recusa")</f>
        <v>Motivo da recusa</v>
      </c>
    </row>
    <row r="548">
      <c r="A548" s="14" t="s">
        <v>1308</v>
      </c>
      <c r="B548" s="14" t="s">
        <v>1309</v>
      </c>
      <c r="C548" s="64" t="str">
        <f>IFERROR(__xludf.DUMMYFUNCTION("GOOGLETRANSLATE(B548,""en"",""hi"")"),"रेफरल छोड़ें")</f>
        <v>रेफरल छोड़ें</v>
      </c>
      <c r="D548" s="65" t="str">
        <f>IFERROR(__xludf.DUMMYFUNCTION("GOOGLETRANSLATE(B548,""en"",""ar"")"),"تخطي الإحالة")</f>
        <v>تخطي الإحالة</v>
      </c>
      <c r="E548" s="65" t="str">
        <f>IFERROR(__xludf.DUMMYFUNCTION("GOOGLETRANSLATE(B548,""en"",""fr"")"),"Ignorer la référence")</f>
        <v>Ignorer la référence</v>
      </c>
      <c r="F548" s="65" t="str">
        <f>IFERROR(__xludf.DUMMYFUNCTION("GOOGLETRANSLATE(B548,""en"",""tr"")"),"Yönlendirmeyi Atla")</f>
        <v>Yönlendirmeyi Atla</v>
      </c>
      <c r="G548" s="65" t="str">
        <f>IFERROR(__xludf.DUMMYFUNCTION("GOOGLETRANSLATE(B548,""en"",""ru"")"),"Пропустить направление")</f>
        <v>Пропустить направление</v>
      </c>
      <c r="H548" s="65" t="str">
        <f>IFERROR(__xludf.DUMMYFUNCTION("GOOGLETRANSLATE(B548,""en"",""it"")"),"Salta il rinvio")</f>
        <v>Salta il rinvio</v>
      </c>
      <c r="I548" s="65" t="str">
        <f>IFERROR(__xludf.DUMMYFUNCTION("GOOGLETRANSLATE(B548,""en"",""de"")"),"Empfehlung überspringen")</f>
        <v>Empfehlung überspringen</v>
      </c>
      <c r="J548" s="65" t="str">
        <f>IFERROR(__xludf.DUMMYFUNCTION("GOOGLETRANSLATE(B548,""en"",""ko"")"),"추천 건너뛰기")</f>
        <v>추천 건너뛰기</v>
      </c>
      <c r="K548" s="65" t="str">
        <f>IFERROR(__xludf.DUMMYFUNCTION("GOOGLETRANSLATE(B548,""en"",""zh"")"),"跳过推荐")</f>
        <v>跳过推荐</v>
      </c>
      <c r="L548" s="65" t="str">
        <f>IFERROR(__xludf.DUMMYFUNCTION("GOOGLETRANSLATE(B548,""en"",""es"")"),"Omitir referencia")</f>
        <v>Omitir referencia</v>
      </c>
      <c r="M548" s="64" t="str">
        <f>IFERROR(__xludf.DUMMYFUNCTION("GOOGLETRANSLATE(B548,""en"",""iw"")"),"דלג על הפניה")</f>
        <v>דלג על הפניה</v>
      </c>
      <c r="N548" s="65" t="str">
        <f>IFERROR(__xludf.DUMMYFUNCTION("GOOGLETRANSLATE(B548,""en"",""bn"")"),"রেফারেল এড়িয়ে যান")</f>
        <v>রেফারেল এড়িয়ে যান</v>
      </c>
      <c r="O548" s="4" t="str">
        <f>IFERROR(__xludf.DUMMYFUNCTION("GOOGLETRANSLATE(B548,""en"",""pt"")"),"Pular referência")</f>
        <v>Pular referência</v>
      </c>
    </row>
    <row r="549">
      <c r="A549" s="14" t="s">
        <v>1310</v>
      </c>
      <c r="B549" s="14" t="s">
        <v>1311</v>
      </c>
      <c r="C549" s="64" t="str">
        <f>IFERROR(__xludf.DUMMYFUNCTION("GOOGLETRANSLATE(B549,""en"",""hi"")"),"रेफरल (वैकल्पिक)")</f>
        <v>रेफरल (वैकल्पिक)</v>
      </c>
      <c r="D549" s="65" t="str">
        <f>IFERROR(__xludf.DUMMYFUNCTION("GOOGLETRANSLATE(B549,""en"",""ar"")"),"الإحالة (اختياري)")</f>
        <v>الإحالة (اختياري)</v>
      </c>
      <c r="E549" s="65" t="str">
        <f>IFERROR(__xludf.DUMMYFUNCTION("GOOGLETRANSLATE(B549,""en"",""fr"")"),"Référence (facultatif)")</f>
        <v>Référence (facultatif)</v>
      </c>
      <c r="F549" s="65" t="str">
        <f>IFERROR(__xludf.DUMMYFUNCTION("GOOGLETRANSLATE(B549,""en"",""tr"")"),"Yönlendirme (İsteğe bağlı)")</f>
        <v>Yönlendirme (İsteğe bağlı)</v>
      </c>
      <c r="G549" s="65" t="str">
        <f>IFERROR(__xludf.DUMMYFUNCTION("GOOGLETRANSLATE(B549,""en"",""ru"")"),"Направление (необязательно)")</f>
        <v>Направление (необязательно)</v>
      </c>
      <c r="H549" s="65" t="str">
        <f>IFERROR(__xludf.DUMMYFUNCTION("GOOGLETRANSLATE(B549,""en"",""it"")"),"Riferimento (facoltativo)")</f>
        <v>Riferimento (facoltativo)</v>
      </c>
      <c r="I549" s="65" t="str">
        <f>IFERROR(__xludf.DUMMYFUNCTION("GOOGLETRANSLATE(B549,""en"",""de"")"),"Empfehlung (optional)")</f>
        <v>Empfehlung (optional)</v>
      </c>
      <c r="J549" s="65" t="str">
        <f>IFERROR(__xludf.DUMMYFUNCTION("GOOGLETRANSLATE(B549,""en"",""ko"")"),"추천(선택 사항)")</f>
        <v>추천(선택 사항)</v>
      </c>
      <c r="K549" s="65" t="str">
        <f>IFERROR(__xludf.DUMMYFUNCTION("GOOGLETRANSLATE(B549,""en"",""zh"")"),"推荐（可选）")</f>
        <v>推荐（可选）</v>
      </c>
      <c r="L549" s="65" t="str">
        <f>IFERROR(__xludf.DUMMYFUNCTION("GOOGLETRANSLATE(B549,""en"",""es"")"),"Referencia (opcional)")</f>
        <v>Referencia (opcional)</v>
      </c>
      <c r="M549" s="64" t="str">
        <f>IFERROR(__xludf.DUMMYFUNCTION("GOOGLETRANSLATE(B549,""en"",""iw"")"),"הפניה (אופציונלי)")</f>
        <v>הפניה (אופציונלי)</v>
      </c>
      <c r="N549" s="65" t="str">
        <f>IFERROR(__xludf.DUMMYFUNCTION("GOOGLETRANSLATE(B549,""en"",""bn"")"),"রেফারেল (ঐচ্ছিক)")</f>
        <v>রেফারেল (ঐচ্ছিক)</v>
      </c>
      <c r="O549" s="4" t="str">
        <f>IFERROR(__xludf.DUMMYFUNCTION("GOOGLETRANSLATE(B549,""en"",""pt"")"),"Encaminhamento (Opcional)")</f>
        <v>Encaminhamento (Opcional)</v>
      </c>
    </row>
    <row r="550">
      <c r="A550" s="14" t="s">
        <v>1312</v>
      </c>
      <c r="B550" s="14" t="s">
        <v>1313</v>
      </c>
      <c r="C550" s="64" t="str">
        <f>IFERROR(__xludf.DUMMYFUNCTION("GOOGLETRANSLATE(B550,""en"",""hi"")"),"आपके वॉलेट का बैलेंस कम है, कोई दूसरा भुगतान तरीका आज़माएँ")</f>
        <v>आपके वॉलेट का बैलेंस कम है, कोई दूसरा भुगतान तरीका आज़माएँ</v>
      </c>
      <c r="D550" s="65" t="str">
        <f>IFERROR(__xludf.DUMMYFUNCTION("GOOGLETRANSLATE(B550,""en"",""ar"")"),"رصيد محفظتك منخفض، جرب طريقة دفع أخرى")</f>
        <v>رصيد محفظتك منخفض، جرب طريقة دفع أخرى</v>
      </c>
      <c r="E550" s="65" t="str">
        <f>IFERROR(__xludf.DUMMYFUNCTION("GOOGLETRANSLATE(B550,""en"",""fr"")"),"Le solde de votre portefeuille est faible, essayez un autre mode de paiement")</f>
        <v>Le solde de votre portefeuille est faible, essayez un autre mode de paiement</v>
      </c>
      <c r="F550" s="65" t="str">
        <f>IFERROR(__xludf.DUMMYFUNCTION("GOOGLETRANSLATE(B550,""en"",""tr"")"),"Cüzdan bakiyeniz düşük, başka bir ödeme yöntemi deneyin")</f>
        <v>Cüzdan bakiyeniz düşük, başka bir ödeme yöntemi deneyin</v>
      </c>
      <c r="G550" s="65" t="str">
        <f>IFERROR(__xludf.DUMMYFUNCTION("GOOGLETRANSLATE(B550,""en"",""ru"")"),"Баланс вашего кошелька низкий. Попробуйте другой способ оплаты.")</f>
        <v>Баланс вашего кошелька низкий. Попробуйте другой способ оплаты.</v>
      </c>
      <c r="H550" s="65" t="str">
        <f>IFERROR(__xludf.DUMMYFUNCTION("GOOGLETRANSLATE(B550,""en"",""it"")"),"Il saldo del tuo portafoglio è basso, prova un altro metodo di pagamento")</f>
        <v>Il saldo del tuo portafoglio è basso, prova un altro metodo di pagamento</v>
      </c>
      <c r="I550" s="65" t="str">
        <f>IFERROR(__xludf.DUMMYFUNCTION("GOOGLETRANSLATE(B550,""en"",""de"")"),"Ihr Wallet-Guthaben ist niedrig. Versuchen Sie es mit einer anderen Zahlungsmethode.")</f>
        <v>Ihr Wallet-Guthaben ist niedrig. Versuchen Sie es mit einer anderen Zahlungsmethode.</v>
      </c>
      <c r="J550" s="65" t="str">
        <f>IFERROR(__xludf.DUMMYFUNCTION("GOOGLETRANSLATE(B550,""en"",""ko"")"),"지갑 잔액이 부족합니다. 다른 결제 방법을 시도해 보세요.")</f>
        <v>지갑 잔액이 부족합니다. 다른 결제 방법을 시도해 보세요.</v>
      </c>
      <c r="K550" s="65" t="str">
        <f>IFERROR(__xludf.DUMMYFUNCTION("GOOGLETRANSLATE(B550,""en"",""zh"")"),"您的钱包余额较低，请尝试其他付款方式")</f>
        <v>您的钱包余额较低，请尝试其他付款方式</v>
      </c>
      <c r="L550" s="65" t="str">
        <f>IFERROR(__xludf.DUMMYFUNCTION("GOOGLETRANSLATE(B550,""en"",""es"")"),"El saldo de su billetera es bajo, pruebe con otro método de pago")</f>
        <v>El saldo de su billetera es bajo, pruebe con otro método de pago</v>
      </c>
      <c r="M550" s="64" t="str">
        <f>IFERROR(__xludf.DUMMYFUNCTION("GOOGLETRANSLATE(B550,""en"",""iw"")"),"יתרת הארנק שלך נמוכה, נסה אמצעי תשלום אחר")</f>
        <v>יתרת הארנק שלך נמוכה, נסה אמצעי תשלום אחר</v>
      </c>
      <c r="N550" s="65" t="str">
        <f>IFERROR(__xludf.DUMMYFUNCTION("GOOGLETRANSLATE(B550,""en"",""bn"")"),"আপনার ওয়ালেট ব্যালেন্স কম অন্য পেমেন্ট পদ্ধতি চেষ্টা করুন")</f>
        <v>আপনার ওয়ালেট ব্যালেন্স কম অন্য পেমেন্ট পদ্ধতি চেষ্টা করুন</v>
      </c>
      <c r="O550" s="4" t="str">
        <f>IFERROR(__xludf.DUMMYFUNCTION("GOOGLETRANSLATE(B550,""en"",""pt"")"),"O saldo da sua carteira está baixo, tente outro método de pagamento")</f>
        <v>O saldo da sua carteira está baixo, tente outro método de pagamento</v>
      </c>
    </row>
    <row r="551">
      <c r="A551" s="85" t="s">
        <v>1314</v>
      </c>
      <c r="B551" s="36" t="s">
        <v>1315</v>
      </c>
      <c r="C551" s="64" t="str">
        <f>IFERROR(__xludf.DUMMYFUNCTION("GOOGLETRANSLATE(B551,""en"",""hi"")"),"दिया गया मोबाइल नंबर पहले से लिया गया है")</f>
        <v>दिया गया मोबाइल नंबर पहले से लिया गया है</v>
      </c>
      <c r="D551" s="65" t="str">
        <f>IFERROR(__xludf.DUMMYFUNCTION("GOOGLETRANSLATE(B551,""en"",""ar"")"),"تم إدخال رقم الهاتف المحمول بالفعل")</f>
        <v>تم إدخال رقم الهاتف المحمول بالفعل</v>
      </c>
      <c r="E551" s="65" t="str">
        <f>IFERROR(__xludf.DUMMYFUNCTION("GOOGLETRANSLATE(B551,""en"",""fr"")"),"Numéro de portable fourni déjà pris")</f>
        <v>Numéro de portable fourni déjà pris</v>
      </c>
      <c r="F551" s="65" t="str">
        <f>IFERROR(__xludf.DUMMYFUNCTION("GOOGLETRANSLATE(B551,""en"",""tr"")"),"Verilen Cep Telefonu Numarası Zaten Alınmış")</f>
        <v>Verilen Cep Telefonu Numarası Zaten Alınmış</v>
      </c>
      <c r="G551" s="65" t="str">
        <f>IFERROR(__xludf.DUMMYFUNCTION("GOOGLETRANSLATE(B551,""en"",""ru"")"),"Предоставленный номер мобильного телефона уже занят")</f>
        <v>Предоставленный номер мобильного телефона уже занят</v>
      </c>
      <c r="H551" s="65" t="str">
        <f>IFERROR(__xludf.DUMMYFUNCTION("GOOGLETRANSLATE(B551,""en"",""it"")"),"Numero di cellulare fornito già preso")</f>
        <v>Numero di cellulare fornito già preso</v>
      </c>
      <c r="I551" s="65" t="str">
        <f>IFERROR(__xludf.DUMMYFUNCTION("GOOGLETRANSLATE(B551,""en"",""de"")"),"Die angegebene Handynummer ist bereits vergeben")</f>
        <v>Die angegebene Handynummer ist bereits vergeben</v>
      </c>
      <c r="J551" s="65" t="str">
        <f>IFERROR(__xludf.DUMMYFUNCTION("GOOGLETRANSLATE(B551,""en"",""ko"")"),"제공된 휴대폰 번호는 이미 사용 중입니다.")</f>
        <v>제공된 휴대폰 번호는 이미 사용 중입니다.</v>
      </c>
      <c r="K551" s="65" t="str">
        <f>IFERROR(__xludf.DUMMYFUNCTION("GOOGLETRANSLATE(B551,""en"",""zh"")"),"提供的手机号码已被占用")</f>
        <v>提供的手机号码已被占用</v>
      </c>
      <c r="L551" s="65" t="str">
        <f>IFERROR(__xludf.DUMMYFUNCTION("GOOGLETRANSLATE(B551,""en"",""es"")"),"El número de móvil proporcionado ya está en uso")</f>
        <v>El número de móvil proporcionado ya está en uso</v>
      </c>
      <c r="M551" s="64" t="str">
        <f>IFERROR(__xludf.DUMMYFUNCTION("GOOGLETRANSLATE(B551,""en"",""iw"")"),"מספר נייד מסופק כבר נלקח")</f>
        <v>מספר נייד מסופק כבר נלקח</v>
      </c>
      <c r="N551" s="65" t="str">
        <f>IFERROR(__xludf.DUMMYFUNCTION("GOOGLETRANSLATE(B551,""en"",""bn"")"),"ইতিমধ্যে নেওয়া মোবাইল নম্বর প্রদান করা হয়েছে")</f>
        <v>ইতিমধ্যে নেওয়া মোবাইল নম্বর প্রদান করা হয়েছে</v>
      </c>
      <c r="O551" s="4" t="str">
        <f>IFERROR(__xludf.DUMMYFUNCTION("GOOGLETRANSLATE(B551,""en"",""pt"")"),"Número de celular fornecido já ocupado")</f>
        <v>Número de celular fornecido já ocupado</v>
      </c>
    </row>
    <row r="552">
      <c r="A552" s="86" t="s">
        <v>1316</v>
      </c>
      <c r="B552" s="87" t="s">
        <v>1317</v>
      </c>
      <c r="C552" s="64" t="str">
        <f>IFERROR(__xludf.DUMMYFUNCTION("GOOGLETRANSLATE(B552,""en"",""hi"")"),"गतिमान")</f>
        <v>गतिमान</v>
      </c>
      <c r="D552" s="65" t="str">
        <f>IFERROR(__xludf.DUMMYFUNCTION("GOOGLETRANSLATE(B552,""en"",""ar"")"),"متحرك")</f>
        <v>متحرك</v>
      </c>
      <c r="E552" s="65" t="str">
        <f>IFERROR(__xludf.DUMMYFUNCTION("GOOGLETRANSLATE(B552,""en"",""fr"")"),"Mobile")</f>
        <v>Mobile</v>
      </c>
      <c r="F552" s="65" t="str">
        <f>IFERROR(__xludf.DUMMYFUNCTION("GOOGLETRANSLATE(B552,""en"",""tr"")"),"Mobil")</f>
        <v>Mobil</v>
      </c>
      <c r="G552" s="65" t="str">
        <f>IFERROR(__xludf.DUMMYFUNCTION("GOOGLETRANSLATE(B552,""en"",""ru"")"),"Мобильный")</f>
        <v>Мобильный</v>
      </c>
      <c r="H552" s="65" t="str">
        <f>IFERROR(__xludf.DUMMYFUNCTION("GOOGLETRANSLATE(B552,""en"",""it"")"),"Mobile")</f>
        <v>Mobile</v>
      </c>
      <c r="I552" s="65" t="str">
        <f>IFERROR(__xludf.DUMMYFUNCTION("GOOGLETRANSLATE(B552,""en"",""de"")"),"Mobile")</f>
        <v>Mobile</v>
      </c>
      <c r="J552" s="65" t="str">
        <f>IFERROR(__xludf.DUMMYFUNCTION("GOOGLETRANSLATE(B552,""en"",""ko"")"),"이동하는")</f>
        <v>이동하는</v>
      </c>
      <c r="K552" s="65" t="str">
        <f>IFERROR(__xludf.DUMMYFUNCTION("GOOGLETRANSLATE(B552,""en"",""zh"")"),"移动的")</f>
        <v>移动的</v>
      </c>
      <c r="L552" s="65" t="str">
        <f>IFERROR(__xludf.DUMMYFUNCTION("GOOGLETRANSLATE(B552,""en"",""es"")"),"Móvil")</f>
        <v>Móvil</v>
      </c>
      <c r="M552" s="64" t="str">
        <f>IFERROR(__xludf.DUMMYFUNCTION("GOOGLETRANSLATE(B552,""en"",""iw"")"),"נייד")</f>
        <v>נייד</v>
      </c>
      <c r="N552" s="65" t="str">
        <f>IFERROR(__xludf.DUMMYFUNCTION("GOOGLETRANSLATE(B552,""en"",""bn"")"),"মোবাইল")</f>
        <v>মোবাইল</v>
      </c>
      <c r="O552" s="4" t="str">
        <f>IFERROR(__xludf.DUMMYFUNCTION("GOOGLETRANSLATE(B552,""en"",""pt"")"),"Móvel")</f>
        <v>Móvel</v>
      </c>
    </row>
    <row r="553">
      <c r="A553" s="85" t="s">
        <v>1318</v>
      </c>
      <c r="B553" s="36" t="s">
        <v>1319</v>
      </c>
      <c r="C553" s="64" t="str">
        <f>IFERROR(__xludf.DUMMYFUNCTION("GOOGLETRANSLATE(B553,""en"",""hi"")"),"हमारे साथ चैट करें")</f>
        <v>हमारे साथ चैट करें</v>
      </c>
      <c r="D553" s="65" t="str">
        <f>IFERROR(__xludf.DUMMYFUNCTION("GOOGLETRANSLATE(B553,""en"",""ar"")"),"الدردشة معنا")</f>
        <v>الدردشة معنا</v>
      </c>
      <c r="E553" s="65" t="str">
        <f>IFERROR(__xludf.DUMMYFUNCTION("GOOGLETRANSLATE(B553,""en"",""fr"")"),"Discutez avec nous")</f>
        <v>Discutez avec nous</v>
      </c>
      <c r="F553" s="65" t="str">
        <f>IFERROR(__xludf.DUMMYFUNCTION("GOOGLETRANSLATE(B553,""en"",""tr"")"),"Bizimle Sohbet Edin")</f>
        <v>Bizimle Sohbet Edin</v>
      </c>
      <c r="G553" s="65" t="str">
        <f>IFERROR(__xludf.DUMMYFUNCTION("GOOGLETRANSLATE(B553,""en"",""ru"")"),"Пообщайтесь с нами")</f>
        <v>Пообщайтесь с нами</v>
      </c>
      <c r="H553" s="65" t="str">
        <f>IFERROR(__xludf.DUMMYFUNCTION("GOOGLETRANSLATE(B553,""en"",""it"")"),"Chatta con noi")</f>
        <v>Chatta con noi</v>
      </c>
      <c r="I553" s="65" t="str">
        <f>IFERROR(__xludf.DUMMYFUNCTION("GOOGLETRANSLATE(B553,""en"",""de"")"),"Chatten Sie mit uns")</f>
        <v>Chatten Sie mit uns</v>
      </c>
      <c r="J553" s="65" t="str">
        <f>IFERROR(__xludf.DUMMYFUNCTION("GOOGLETRANSLATE(B553,""en"",""ko"")"),"저희와 채팅하세요")</f>
        <v>저희와 채팅하세요</v>
      </c>
      <c r="K553" s="65" t="str">
        <f>IFERROR(__xludf.DUMMYFUNCTION("GOOGLETRANSLATE(B553,""en"",""zh"")"),"与我们聊天")</f>
        <v>与我们聊天</v>
      </c>
      <c r="L553" s="65" t="str">
        <f>IFERROR(__xludf.DUMMYFUNCTION("GOOGLETRANSLATE(B553,""en"",""es"")"),"Chatea con nosotros")</f>
        <v>Chatea con nosotros</v>
      </c>
      <c r="M553" s="64" t="str">
        <f>IFERROR(__xludf.DUMMYFUNCTION("GOOGLETRANSLATE(B553,""en"",""iw"")"),"צ'אט איתנו")</f>
        <v>צ'אט איתנו</v>
      </c>
      <c r="N553" s="65" t="str">
        <f>IFERROR(__xludf.DUMMYFUNCTION("GOOGLETRANSLATE(B553,""en"",""bn"")"),"আমাদের সাথে চ্যাট করুন")</f>
        <v>আমাদের সাথে চ্যাট করুন</v>
      </c>
      <c r="O553" s="4" t="str">
        <f>IFERROR(__xludf.DUMMYFUNCTION("GOOGLETRANSLATE(B553,""en"",""pt"")"),"Converse conosco")</f>
        <v>Converse conosco</v>
      </c>
    </row>
    <row r="554">
      <c r="A554" s="85" t="s">
        <v>1320</v>
      </c>
      <c r="B554" s="36" t="s">
        <v>1321</v>
      </c>
      <c r="C554" s="64" t="str">
        <f>IFERROR(__xludf.DUMMYFUNCTION("GOOGLETRANSLATE(B554,""en"",""hi"")"),"व्यवस्थापक चैट")</f>
        <v>व्यवस्थापक चैट</v>
      </c>
      <c r="D554" s="65" t="str">
        <f>IFERROR(__xludf.DUMMYFUNCTION("GOOGLETRANSLATE(B554,""en"",""ar"")"),"دردشة المسؤول")</f>
        <v>دردشة المسؤول</v>
      </c>
      <c r="E554" s="65" t="str">
        <f>IFERROR(__xludf.DUMMYFUNCTION("GOOGLETRANSLATE(B554,""en"",""fr"")"),"Chat administrateur")</f>
        <v>Chat administrateur</v>
      </c>
      <c r="F554" s="65" t="str">
        <f>IFERROR(__xludf.DUMMYFUNCTION("GOOGLETRANSLATE(B554,""en"",""tr"")"),"Yönetici Sohbeti")</f>
        <v>Yönetici Sohbeti</v>
      </c>
      <c r="G554" s="65" t="str">
        <f>IFERROR(__xludf.DUMMYFUNCTION("GOOGLETRANSLATE(B554,""en"",""ru"")"),"Административный чат")</f>
        <v>Административный чат</v>
      </c>
      <c r="H554" s="65" t="str">
        <f>IFERROR(__xludf.DUMMYFUNCTION("GOOGLETRANSLATE(B554,""en"",""it"")"),"Chat di amministrazione")</f>
        <v>Chat di amministrazione</v>
      </c>
      <c r="I554" s="65" t="str">
        <f>IFERROR(__xludf.DUMMYFUNCTION("GOOGLETRANSLATE(B554,""en"",""de"")"),"Admin-Chat")</f>
        <v>Admin-Chat</v>
      </c>
      <c r="J554" s="65" t="str">
        <f>IFERROR(__xludf.DUMMYFUNCTION("GOOGLETRANSLATE(B554,""en"",""ko"")"),"관리자 채팅")</f>
        <v>관리자 채팅</v>
      </c>
      <c r="K554" s="65" t="str">
        <f>IFERROR(__xludf.DUMMYFUNCTION("GOOGLETRANSLATE(B554,""en"",""zh"")"),"管理员聊天")</f>
        <v>管理员聊天</v>
      </c>
      <c r="L554" s="65" t="str">
        <f>IFERROR(__xludf.DUMMYFUNCTION("GOOGLETRANSLATE(B554,""en"",""es"")"),"Chat de administración")</f>
        <v>Chat de administración</v>
      </c>
      <c r="M554" s="64" t="str">
        <f>IFERROR(__xludf.DUMMYFUNCTION("GOOGLETRANSLATE(B554,""en"",""iw"")"),"צ'אט מנהל")</f>
        <v>צ'אט מנהל</v>
      </c>
      <c r="N554" s="65" t="str">
        <f>IFERROR(__xludf.DUMMYFUNCTION("GOOGLETRANSLATE(B554,""en"",""bn"")"),"অ্যাডমিন চ্যাট")</f>
        <v>অ্যাডমিন চ্যাট</v>
      </c>
      <c r="O554" s="4" t="str">
        <f>IFERROR(__xludf.DUMMYFUNCTION("GOOGLETRANSLATE(B554,""en"",""pt"")"),"Bate-papo do administrador")</f>
        <v>Bate-papo do administrador</v>
      </c>
    </row>
    <row r="555">
      <c r="A555" s="85" t="s">
        <v>1322</v>
      </c>
      <c r="B555" s="36" t="s">
        <v>1323</v>
      </c>
      <c r="C555" s="64" t="str">
        <f>IFERROR(__xludf.DUMMYFUNCTION("GOOGLETRANSLATE(B555,""en"",""hi"")"),"प्रदान किया गया ईमेल पहले ही ले लिया गया है")</f>
        <v>प्रदान किया गया ईमेल पहले ही ले लिया गया है</v>
      </c>
      <c r="D555" s="65" t="str">
        <f>IFERROR(__xludf.DUMMYFUNCTION("GOOGLETRANSLATE(B555,""en"",""ar"")"),"تم توفير البريد الإلكتروني بالفعل")</f>
        <v>تم توفير البريد الإلكتروني بالفعل</v>
      </c>
      <c r="E555" s="65" t="str">
        <f>IFERROR(__xludf.DUMMYFUNCTION("GOOGLETRANSLATE(B555,""en"",""fr"")"),"L'adresse e-mail fournie est déjà prise")</f>
        <v>L'adresse e-mail fournie est déjà prise</v>
      </c>
      <c r="F555" s="65" t="str">
        <f>IFERROR(__xludf.DUMMYFUNCTION("GOOGLETRANSLATE(B555,""en"",""tr"")"),"Verilen E-posta Zaten Alındı")</f>
        <v>Verilen E-posta Zaten Alındı</v>
      </c>
      <c r="G555" s="65" t="str">
        <f>IFERROR(__xludf.DUMMYFUNCTION("GOOGLETRANSLATE(B555,""en"",""ru"")"),"Указанный адрес электронной почты уже занят")</f>
        <v>Указанный адрес электронной почты уже занят</v>
      </c>
      <c r="H555" s="65" t="str">
        <f>IFERROR(__xludf.DUMMYFUNCTION("GOOGLETRANSLATE(B555,""en"",""it"")"),"L'indirizzo email fornito è già stato preso")</f>
        <v>L'indirizzo email fornito è già stato preso</v>
      </c>
      <c r="I555" s="65" t="str">
        <f>IFERROR(__xludf.DUMMYFUNCTION("GOOGLETRANSLATE(B555,""en"",""de"")"),"Angegebene E-Mail-Adresse bereits vergeben")</f>
        <v>Angegebene E-Mail-Adresse bereits vergeben</v>
      </c>
      <c r="J555" s="65" t="str">
        <f>IFERROR(__xludf.DUMMYFUNCTION("GOOGLETRANSLATE(B555,""en"",""ko"")"),"제공된 이메일은 이미 사용되었습니다")</f>
        <v>제공된 이메일은 이미 사용되었습니다</v>
      </c>
      <c r="K555" s="65" t="str">
        <f>IFERROR(__xludf.DUMMYFUNCTION("GOOGLETRANSLATE(B555,""en"",""zh"")"),"提供的电子邮件已被占用")</f>
        <v>提供的电子邮件已被占用</v>
      </c>
      <c r="L555" s="65" t="str">
        <f>IFERROR(__xludf.DUMMYFUNCTION("GOOGLETRANSLATE(B555,""en"",""es"")"),"El correo electrónico proporcionado ya está en uso")</f>
        <v>El correo electrónico proporcionado ya está en uso</v>
      </c>
      <c r="M555" s="64" t="str">
        <f>IFERROR(__xludf.DUMMYFUNCTION("GOOGLETRANSLATE(B555,""en"",""iw"")"),"דוא""ל מסופק כבר נלקח")</f>
        <v>דוא"ל מסופק כבר נלקח</v>
      </c>
      <c r="N555" s="65" t="str">
        <f>IFERROR(__xludf.DUMMYFUNCTION("GOOGLETRANSLATE(B555,""en"",""bn"")"),"ইতিমধ্যে নেওয়া ইমেল প্রদান করা হয়েছে")</f>
        <v>ইতিমধ্যে নেওয়া ইমেল প্রদান করা হয়েছে</v>
      </c>
      <c r="O555" s="4" t="str">
        <f>IFERROR(__xludf.DUMMYFUNCTION("GOOGLETRANSLATE(B555,""en"",""pt"")"),"E-mail fornecido já foi usado")</f>
        <v>E-mail fornecido já foi usado</v>
      </c>
    </row>
    <row r="556">
      <c r="A556" s="88" t="s">
        <v>1324</v>
      </c>
      <c r="B556" s="89" t="s">
        <v>1325</v>
      </c>
      <c r="C556" s="64" t="str">
        <f>IFERROR(__xludf.DUMMYFUNCTION("GOOGLETRANSLATE(B556,""en"",""hi"")"),"सेटिंग्स")</f>
        <v>सेटिंग्स</v>
      </c>
      <c r="D556" s="65" t="str">
        <f>IFERROR(__xludf.DUMMYFUNCTION("GOOGLETRANSLATE(B556,""en"",""ar"")"),"إعدادات")</f>
        <v>إعدادات</v>
      </c>
      <c r="E556" s="65" t="str">
        <f>IFERROR(__xludf.DUMMYFUNCTION("GOOGLETRANSLATE(B556,""en"",""fr"")"),"Paramètres")</f>
        <v>Paramètres</v>
      </c>
      <c r="F556" s="65" t="str">
        <f>IFERROR(__xludf.DUMMYFUNCTION("GOOGLETRANSLATE(B556,""en"",""tr"")"),"Ayarlar")</f>
        <v>Ayarlar</v>
      </c>
      <c r="G556" s="65" t="str">
        <f>IFERROR(__xludf.DUMMYFUNCTION("GOOGLETRANSLATE(B556,""en"",""ru"")"),"Настройки")</f>
        <v>Настройки</v>
      </c>
      <c r="H556" s="65" t="str">
        <f>IFERROR(__xludf.DUMMYFUNCTION("GOOGLETRANSLATE(B556,""en"",""it"")"),"Impostazioni")</f>
        <v>Impostazioni</v>
      </c>
      <c r="I556" s="65" t="str">
        <f>IFERROR(__xludf.DUMMYFUNCTION("GOOGLETRANSLATE(B556,""en"",""de"")"),"Einstellungen")</f>
        <v>Einstellungen</v>
      </c>
      <c r="J556" s="65" t="str">
        <f>IFERROR(__xludf.DUMMYFUNCTION("GOOGLETRANSLATE(B556,""en"",""ko"")"),"설정")</f>
        <v>설정</v>
      </c>
      <c r="K556" s="65" t="str">
        <f>IFERROR(__xludf.DUMMYFUNCTION("GOOGLETRANSLATE(B556,""en"",""zh"")"),"设置")</f>
        <v>设置</v>
      </c>
      <c r="L556" s="65" t="str">
        <f>IFERROR(__xludf.DUMMYFUNCTION("GOOGLETRANSLATE(B556,""en"",""es"")"),"Ajustes")</f>
        <v>Ajustes</v>
      </c>
      <c r="M556" s="64" t="str">
        <f>IFERROR(__xludf.DUMMYFUNCTION("GOOGLETRANSLATE(B556,""en"",""iw"")"),"הגדרות")</f>
        <v>הגדרות</v>
      </c>
      <c r="N556" s="65" t="str">
        <f>IFERROR(__xludf.DUMMYFUNCTION("GOOGLETRANSLATE(B556,""en"",""bn"")"),"সেটিংস")</f>
        <v>সেটিংস</v>
      </c>
      <c r="O556" s="4" t="str">
        <f>IFERROR(__xludf.DUMMYFUNCTION("GOOGLETRANSLATE(B556,""en"",""pt"")"),"Configurações")</f>
        <v>Configurações</v>
      </c>
    </row>
    <row r="557">
      <c r="A557" s="88" t="s">
        <v>1326</v>
      </c>
      <c r="B557" s="89" t="s">
        <v>1327</v>
      </c>
      <c r="C557" s="64" t="str">
        <f>IFERROR(__xludf.DUMMYFUNCTION("GOOGLETRANSLATE(B557,""en"",""hi"")"),"सहायता")</f>
        <v>सहायता</v>
      </c>
      <c r="D557" s="65" t="str">
        <f>IFERROR(__xludf.DUMMYFUNCTION("GOOGLETRANSLATE(B557,""en"",""ar"")"),"يدعم")</f>
        <v>يدعم</v>
      </c>
      <c r="E557" s="65" t="str">
        <f>IFERROR(__xludf.DUMMYFUNCTION("GOOGLETRANSLATE(B557,""en"",""fr"")"),"Soutien")</f>
        <v>Soutien</v>
      </c>
      <c r="F557" s="65" t="str">
        <f>IFERROR(__xludf.DUMMYFUNCTION("GOOGLETRANSLATE(B557,""en"",""tr"")"),"Destek")</f>
        <v>Destek</v>
      </c>
      <c r="G557" s="65" t="str">
        <f>IFERROR(__xludf.DUMMYFUNCTION("GOOGLETRANSLATE(B557,""en"",""ru"")"),"Поддерживать")</f>
        <v>Поддерживать</v>
      </c>
      <c r="H557" s="65" t="str">
        <f>IFERROR(__xludf.DUMMYFUNCTION("GOOGLETRANSLATE(B557,""en"",""it"")"),"Supporto")</f>
        <v>Supporto</v>
      </c>
      <c r="I557" s="65" t="str">
        <f>IFERROR(__xludf.DUMMYFUNCTION("GOOGLETRANSLATE(B557,""en"",""de"")"),"Unterstützung")</f>
        <v>Unterstützung</v>
      </c>
      <c r="J557" s="65" t="str">
        <f>IFERROR(__xludf.DUMMYFUNCTION("GOOGLETRANSLATE(B557,""en"",""ko"")"),"지원하다")</f>
        <v>지원하다</v>
      </c>
      <c r="K557" s="65" t="str">
        <f>IFERROR(__xludf.DUMMYFUNCTION("GOOGLETRANSLATE(B557,""en"",""zh"")"),"支持")</f>
        <v>支持</v>
      </c>
      <c r="L557" s="65" t="str">
        <f>IFERROR(__xludf.DUMMYFUNCTION("GOOGLETRANSLATE(B557,""en"",""es"")"),"Apoyo")</f>
        <v>Apoyo</v>
      </c>
      <c r="M557" s="64" t="str">
        <f>IFERROR(__xludf.DUMMYFUNCTION("GOOGLETRANSLATE(B557,""en"",""iw"")"),"תְמִיכָה")</f>
        <v>תְמִיכָה</v>
      </c>
      <c r="N557" s="65" t="str">
        <f>IFERROR(__xludf.DUMMYFUNCTION("GOOGLETRANSLATE(B557,""en"",""bn"")"),"সমর্থন")</f>
        <v>সমর্থন</v>
      </c>
      <c r="O557" s="4" t="str">
        <f>IFERROR(__xludf.DUMMYFUNCTION("GOOGLETRANSLATE(B557,""en"",""pt"")"),"Apoiar")</f>
        <v>Apoiar</v>
      </c>
    </row>
    <row r="558">
      <c r="A558" s="88" t="s">
        <v>1328</v>
      </c>
      <c r="B558" s="89" t="s">
        <v>250</v>
      </c>
      <c r="C558" s="64" t="str">
        <f>IFERROR(__xludf.DUMMYFUNCTION("GOOGLETRANSLATE(B558,""en"",""hi"")"),"रेफ़रल")</f>
        <v>रेफ़रल</v>
      </c>
      <c r="D558" s="65" t="str">
        <f>IFERROR(__xludf.DUMMYFUNCTION("GOOGLETRANSLATE(B558,""en"",""ar"")"),"الإحالة")</f>
        <v>الإحالة</v>
      </c>
      <c r="E558" s="65" t="str">
        <f>IFERROR(__xludf.DUMMYFUNCTION("GOOGLETRANSLATE(B558,""en"",""fr"")"),"Orientation")</f>
        <v>Orientation</v>
      </c>
      <c r="F558" s="65" t="str">
        <f>IFERROR(__xludf.DUMMYFUNCTION("GOOGLETRANSLATE(B558,""en"",""tr"")"),"Yönlendirme")</f>
        <v>Yönlendirme</v>
      </c>
      <c r="G558" s="65" t="str">
        <f>IFERROR(__xludf.DUMMYFUNCTION("GOOGLETRANSLATE(B558,""en"",""ru"")"),"Направление")</f>
        <v>Направление</v>
      </c>
      <c r="H558" s="65" t="str">
        <f>IFERROR(__xludf.DUMMYFUNCTION("GOOGLETRANSLATE(B558,""en"",""it"")"),"Riferimento")</f>
        <v>Riferimento</v>
      </c>
      <c r="I558" s="65" t="str">
        <f>IFERROR(__xludf.DUMMYFUNCTION("GOOGLETRANSLATE(B558,""en"",""de"")"),"Verweisung")</f>
        <v>Verweisung</v>
      </c>
      <c r="J558" s="65" t="str">
        <f>IFERROR(__xludf.DUMMYFUNCTION("GOOGLETRANSLATE(B558,""en"",""ko"")"),"추천")</f>
        <v>추천</v>
      </c>
      <c r="K558" s="65" t="str">
        <f>IFERROR(__xludf.DUMMYFUNCTION("GOOGLETRANSLATE(B558,""en"",""zh"")"),"推荐")</f>
        <v>推荐</v>
      </c>
      <c r="L558" s="65" t="str">
        <f>IFERROR(__xludf.DUMMYFUNCTION("GOOGLETRANSLATE(B558,""en"",""es"")"),"Remisión")</f>
        <v>Remisión</v>
      </c>
      <c r="M558" s="64" t="str">
        <f>IFERROR(__xludf.DUMMYFUNCTION("GOOGLETRANSLATE(B558,""en"",""iw"")"),"הפניה")</f>
        <v>הפניה</v>
      </c>
      <c r="N558" s="65" t="str">
        <f>IFERROR(__xludf.DUMMYFUNCTION("GOOGLETRANSLATE(B558,""en"",""bn"")"),"রেফারেল")</f>
        <v>রেফারেল</v>
      </c>
      <c r="O558" s="4" t="str">
        <f>IFERROR(__xludf.DUMMYFUNCTION("GOOGLETRANSLATE(B558,""en"",""pt"")"),"Encaminhamento")</f>
        <v>Encaminhamento</v>
      </c>
    </row>
    <row r="559">
      <c r="A559" s="88" t="s">
        <v>1329</v>
      </c>
      <c r="B559" s="89" t="s">
        <v>1330</v>
      </c>
      <c r="C559" s="64" t="str">
        <f>IFERROR(__xludf.DUMMYFUNCTION("GOOGLETRANSLATE(B559,""en"",""hi"")"),"कस्टम मेक जोड़ें")</f>
        <v>कस्टम मेक जोड़ें</v>
      </c>
      <c r="D559" s="65" t="str">
        <f>IFERROR(__xludf.DUMMYFUNCTION("GOOGLETRANSLATE(B559,""en"",""ar"")"),"إضافة صنع مخصص")</f>
        <v>إضافة صنع مخصص</v>
      </c>
      <c r="E559" s="65" t="str">
        <f>IFERROR(__xludf.DUMMYFUNCTION("GOOGLETRANSLATE(B559,""en"",""fr"")"),"Ajouter une marque personnalisée")</f>
        <v>Ajouter une marque personnalisée</v>
      </c>
      <c r="F559" s="65" t="str">
        <f>IFERROR(__xludf.DUMMYFUNCTION("GOOGLETRANSLATE(B559,""en"",""tr"")"),"Özel Yapım Ekle")</f>
        <v>Özel Yapım Ekle</v>
      </c>
      <c r="G559" s="65" t="str">
        <f>IFERROR(__xludf.DUMMYFUNCTION("GOOGLETRANSLATE(B559,""en"",""ru"")"),"Добавить индивидуальную марку")</f>
        <v>Добавить индивидуальную марку</v>
      </c>
      <c r="H559" s="65" t="str">
        <f>IFERROR(__xludf.DUMMYFUNCTION("GOOGLETRANSLATE(B559,""en"",""it"")"),"Aggiungi creazione personalizzata")</f>
        <v>Aggiungi creazione personalizzata</v>
      </c>
      <c r="I559" s="65" t="str">
        <f>IFERROR(__xludf.DUMMYFUNCTION("GOOGLETRANSLATE(B559,""en"",""de"")"),"Benutzerdefiniertes Make hinzufügen")</f>
        <v>Benutzerdefiniertes Make hinzufügen</v>
      </c>
      <c r="J559" s="65" t="str">
        <f>IFERROR(__xludf.DUMMYFUNCTION("GOOGLETRANSLATE(B559,""en"",""ko"")"),"사용자 정의 추가")</f>
        <v>사용자 정의 추가</v>
      </c>
      <c r="K559" s="65" t="str">
        <f>IFERROR(__xludf.DUMMYFUNCTION("GOOGLETRANSLATE(B559,""en"",""zh"")"),"添加定制")</f>
        <v>添加定制</v>
      </c>
      <c r="L559" s="65" t="str">
        <f>IFERROR(__xludf.DUMMYFUNCTION("GOOGLETRANSLATE(B559,""en"",""es"")"),"Agregar marca personalizada")</f>
        <v>Agregar marca personalizada</v>
      </c>
      <c r="M559" s="64" t="str">
        <f>IFERROR(__xludf.DUMMYFUNCTION("GOOGLETRANSLATE(B559,""en"",""iw"")"),"הוסף התאמה אישית")</f>
        <v>הוסף התאמה אישית</v>
      </c>
      <c r="N559" s="65" t="str">
        <f>IFERROR(__xludf.DUMMYFUNCTION("GOOGLETRANSLATE(B559,""en"",""bn"")"),"কাস্টম মেক যোগ করুন")</f>
        <v>কাস্টম মেক যোগ করুন</v>
      </c>
      <c r="O559" s="4" t="str">
        <f>IFERROR(__xludf.DUMMYFUNCTION("GOOGLETRANSLATE(B559,""en"",""pt"")"),"Adicionar marca personalizada")</f>
        <v>Adicionar marca personalizada</v>
      </c>
    </row>
    <row r="560">
      <c r="A560" s="88" t="s">
        <v>171</v>
      </c>
      <c r="B560" s="89" t="s">
        <v>1331</v>
      </c>
      <c r="C560" s="64" t="str">
        <f>IFERROR(__xludf.DUMMYFUNCTION("GOOGLETRANSLATE(B560,""en"",""hi"")"),"दस्तावेज़ संपादित करें")</f>
        <v>दस्तावेज़ संपादित करें</v>
      </c>
      <c r="D560" s="65" t="str">
        <f>IFERROR(__xludf.DUMMYFUNCTION("GOOGLETRANSLATE(B560,""en"",""ar"")"),"تحرير المستندات")</f>
        <v>تحرير المستندات</v>
      </c>
      <c r="E560" s="65" t="str">
        <f>IFERROR(__xludf.DUMMYFUNCTION("GOOGLETRANSLATE(B560,""en"",""fr"")"),"Modifier les documents")</f>
        <v>Modifier les documents</v>
      </c>
      <c r="F560" s="65" t="str">
        <f>IFERROR(__xludf.DUMMYFUNCTION("GOOGLETRANSLATE(B560,""en"",""tr"")"),"Belgeleri Düzenle")</f>
        <v>Belgeleri Düzenle</v>
      </c>
      <c r="G560" s="65" t="str">
        <f>IFERROR(__xludf.DUMMYFUNCTION("GOOGLETRANSLATE(B560,""en"",""ru"")"),"Редактировать документы")</f>
        <v>Редактировать документы</v>
      </c>
      <c r="H560" s="65" t="str">
        <f>IFERROR(__xludf.DUMMYFUNCTION("GOOGLETRANSLATE(B560,""en"",""it"")"),"Modifica documenti")</f>
        <v>Modifica documenti</v>
      </c>
      <c r="I560" s="65" t="str">
        <f>IFERROR(__xludf.DUMMYFUNCTION("GOOGLETRANSLATE(B560,""en"",""de"")"),"Dokumente bearbeiten")</f>
        <v>Dokumente bearbeiten</v>
      </c>
      <c r="J560" s="65" t="str">
        <f>IFERROR(__xludf.DUMMYFUNCTION("GOOGLETRANSLATE(B560,""en"",""ko"")"),"문서 편집")</f>
        <v>문서 편집</v>
      </c>
      <c r="K560" s="65" t="str">
        <f>IFERROR(__xludf.DUMMYFUNCTION("GOOGLETRANSLATE(B560,""en"",""zh"")"),"编辑文档")</f>
        <v>编辑文档</v>
      </c>
      <c r="L560" s="65" t="str">
        <f>IFERROR(__xludf.DUMMYFUNCTION("GOOGLETRANSLATE(B560,""en"",""es"")"),"Editar documentos")</f>
        <v>Editar documentos</v>
      </c>
      <c r="M560" s="64" t="str">
        <f>IFERROR(__xludf.DUMMYFUNCTION("GOOGLETRANSLATE(B560,""en"",""iw"")"),"ערוך מסמכים")</f>
        <v>ערוך מסמכים</v>
      </c>
      <c r="N560" s="65" t="str">
        <f>IFERROR(__xludf.DUMMYFUNCTION("GOOGLETRANSLATE(B560,""en"",""bn"")"),"ডক্স সম্পাদনা করুন")</f>
        <v>ডক্স সম্পাদনা করুন</v>
      </c>
      <c r="O560" s="4" t="str">
        <f>IFERROR(__xludf.DUMMYFUNCTION("GOOGLETRANSLATE(B560,""en"",""pt"")"),"Editar documentos")</f>
        <v>Editar documentos</v>
      </c>
    </row>
    <row r="561">
      <c r="A561" s="88" t="s">
        <v>1332</v>
      </c>
      <c r="B561" s="89" t="s">
        <v>1333</v>
      </c>
      <c r="C561" s="64" t="str">
        <f>IFERROR(__xludf.DUMMYFUNCTION("GOOGLETRANSLATE(B561,""en"",""hi"")"),"बोली सवारी")</f>
        <v>बोली सवारी</v>
      </c>
      <c r="D561" s="65" t="str">
        <f>IFERROR(__xludf.DUMMYFUNCTION("GOOGLETRANSLATE(B561,""en"",""ar"")"),"رحلة المزايدة")</f>
        <v>رحلة المزايدة</v>
      </c>
      <c r="E561" s="65" t="str">
        <f>IFERROR(__xludf.DUMMYFUNCTION("GOOGLETRANSLATE(B561,""en"",""fr"")"),"Enchère Ride")</f>
        <v>Enchère Ride</v>
      </c>
      <c r="F561" s="65" t="str">
        <f>IFERROR(__xludf.DUMMYFUNCTION("GOOGLETRANSLATE(B561,""en"",""tr"")"),"Teklif Sürüşü")</f>
        <v>Teklif Sürüşü</v>
      </c>
      <c r="G561" s="65" t="str">
        <f>IFERROR(__xludf.DUMMYFUNCTION("GOOGLETRANSLATE(B561,""en"",""ru"")"),"Bid Ride")</f>
        <v>Bid Ride</v>
      </c>
      <c r="H561" s="65" t="str">
        <f>IFERROR(__xludf.DUMMYFUNCTION("GOOGLETRANSLATE(B561,""en"",""it"")"),"Offerta di viaggio")</f>
        <v>Offerta di viaggio</v>
      </c>
      <c r="I561" s="65" t="str">
        <f>IFERROR(__xludf.DUMMYFUNCTION("GOOGLETRANSLATE(B561,""en"",""de"")"),"Gebotsfahrt")</f>
        <v>Gebotsfahrt</v>
      </c>
      <c r="J561" s="65" t="str">
        <f>IFERROR(__xludf.DUMMYFUNCTION("GOOGLETRANSLATE(B561,""en"",""ko"")"),"입찰 라이드")</f>
        <v>입찰 라이드</v>
      </c>
      <c r="K561" s="65" t="str">
        <f>IFERROR(__xludf.DUMMYFUNCTION("GOOGLETRANSLATE(B561,""en"",""zh"")"),"竞标行程")</f>
        <v>竞标行程</v>
      </c>
      <c r="L561" s="65" t="str">
        <f>IFERROR(__xludf.DUMMYFUNCTION("GOOGLETRANSLATE(B561,""en"",""es"")"),"Oferta de viaje")</f>
        <v>Oferta de viaje</v>
      </c>
      <c r="M561" s="64" t="str">
        <f>IFERROR(__xludf.DUMMYFUNCTION("GOOGLETRANSLATE(B561,""en"",""iw"")"),"נסיעת הצעת מחיר")</f>
        <v>נסיעת הצעת מחיר</v>
      </c>
      <c r="N561" s="65" t="str">
        <f>IFERROR(__xludf.DUMMYFUNCTION("GOOGLETRANSLATE(B561,""en"",""bn"")"),"বিড রাইড")</f>
        <v>বিড রাইড</v>
      </c>
      <c r="O561" s="4" t="str">
        <f>IFERROR(__xludf.DUMMYFUNCTION("GOOGLETRANSLATE(B561,""en"",""pt"")"),"Passeio de lance")</f>
        <v>Passeio de lance</v>
      </c>
    </row>
    <row r="562">
      <c r="A562" s="88" t="s">
        <v>1334</v>
      </c>
      <c r="B562" s="89" t="s">
        <v>1335</v>
      </c>
      <c r="C562" s="64" t="str">
        <f>IFERROR(__xludf.DUMMYFUNCTION("GOOGLETRANSLATE(B562,""en"",""hi"")"),"आउट स्टेशन")</f>
        <v>आउट स्टेशन</v>
      </c>
      <c r="D562" s="65" t="str">
        <f>IFERROR(__xludf.DUMMYFUNCTION("GOOGLETRANSLATE(B562,""en"",""ar"")"),"محطة خارجية")</f>
        <v>محطة خارجية</v>
      </c>
      <c r="E562" s="65" t="str">
        <f>IFERROR(__xludf.DUMMYFUNCTION("GOOGLETRANSLATE(B562,""en"",""fr"")"),"Station extérieure")</f>
        <v>Station extérieure</v>
      </c>
      <c r="F562" s="65" t="str">
        <f>IFERROR(__xludf.DUMMYFUNCTION("GOOGLETRANSLATE(B562,""en"",""tr"")"),"Dış İstasyon")</f>
        <v>Dış İstasyon</v>
      </c>
      <c r="G562" s="65" t="str">
        <f>IFERROR(__xludf.DUMMYFUNCTION("GOOGLETRANSLATE(B562,""en"",""ru"")"),"Выходная станция")</f>
        <v>Выходная станция</v>
      </c>
      <c r="H562" s="65" t="str">
        <f>IFERROR(__xludf.DUMMYFUNCTION("GOOGLETRANSLATE(B562,""en"",""it"")"),"Fuori stazione")</f>
        <v>Fuori stazione</v>
      </c>
      <c r="I562" s="65" t="str">
        <f>IFERROR(__xludf.DUMMYFUNCTION("GOOGLETRANSLATE(B562,""en"",""de"")"),"Außenstation")</f>
        <v>Außenstation</v>
      </c>
      <c r="J562" s="65" t="str">
        <f>IFERROR(__xludf.DUMMYFUNCTION("GOOGLETRANSLATE(B562,""en"",""ko"")"),"아웃 스테이션")</f>
        <v>아웃 스테이션</v>
      </c>
      <c r="K562" s="65" t="str">
        <f>IFERROR(__xludf.DUMMYFUNCTION("GOOGLETRANSLATE(B562,""en"",""zh"")"),"出站")</f>
        <v>出站</v>
      </c>
      <c r="L562" s="65" t="str">
        <f>IFERROR(__xludf.DUMMYFUNCTION("GOOGLETRANSLATE(B562,""en"",""es"")"),"Estación de salida")</f>
        <v>Estación de salida</v>
      </c>
      <c r="M562" s="64" t="str">
        <f>IFERROR(__xludf.DUMMYFUNCTION("GOOGLETRANSLATE(B562,""en"",""iw"")"),"Out Station")</f>
        <v>Out Station</v>
      </c>
      <c r="N562" s="65" t="str">
        <f>IFERROR(__xludf.DUMMYFUNCTION("GOOGLETRANSLATE(B562,""en"",""bn"")"),"আউট স্টেশন")</f>
        <v>আউট স্টেশন</v>
      </c>
      <c r="O562" s="4" t="str">
        <f>IFERROR(__xludf.DUMMYFUNCTION("GOOGLETRANSLATE(B562,""en"",""pt"")"),"Estação de saída")</f>
        <v>Estação de saída</v>
      </c>
    </row>
    <row r="563">
      <c r="A563" s="88" t="s">
        <v>1336</v>
      </c>
      <c r="B563" s="89" t="s">
        <v>1337</v>
      </c>
      <c r="C563" s="64" t="str">
        <f>IFERROR(__xludf.DUMMYFUNCTION("GOOGLETRANSLATE(B563,""en"",""hi"")"),"पिकअप के लिए तैयार")</f>
        <v>पिकअप के लिए तैयार</v>
      </c>
      <c r="D563" s="65" t="str">
        <f>IFERROR(__xludf.DUMMYFUNCTION("GOOGLETRANSLATE(B563,""en"",""ar"")"),"جاهز للاستلام")</f>
        <v>جاهز للاستلام</v>
      </c>
      <c r="E563" s="65" t="str">
        <f>IFERROR(__xludf.DUMMYFUNCTION("GOOGLETRANSLATE(B563,""en"",""fr"")"),"Prêt à être récupéré")</f>
        <v>Prêt à être récupéré</v>
      </c>
      <c r="F563" s="65" t="str">
        <f>IFERROR(__xludf.DUMMYFUNCTION("GOOGLETRANSLATE(B563,""en"",""tr"")"),"Almaya hazır")</f>
        <v>Almaya hazır</v>
      </c>
      <c r="G563" s="65" t="str">
        <f>IFERROR(__xludf.DUMMYFUNCTION("GOOGLETRANSLATE(B563,""en"",""ru"")"),"Готово к выдаче")</f>
        <v>Готово к выдаче</v>
      </c>
      <c r="H563" s="65" t="str">
        <f>IFERROR(__xludf.DUMMYFUNCTION("GOOGLETRANSLATE(B563,""en"",""it"")"),"Pronto per il ritiro")</f>
        <v>Pronto per il ritiro</v>
      </c>
      <c r="I563" s="65" t="str">
        <f>IFERROR(__xludf.DUMMYFUNCTION("GOOGLETRANSLATE(B563,""en"",""de"")"),"Bereit zur Abholung")</f>
        <v>Bereit zur Abholung</v>
      </c>
      <c r="J563" s="65" t="str">
        <f>IFERROR(__xludf.DUMMYFUNCTION("GOOGLETRANSLATE(B563,""en"",""ko"")"),"픽업 준비 완료")</f>
        <v>픽업 준비 완료</v>
      </c>
      <c r="K563" s="65" t="str">
        <f>IFERROR(__xludf.DUMMYFUNCTION("GOOGLETRANSLATE(B563,""en"",""zh"")"),"准备取货")</f>
        <v>准备取货</v>
      </c>
      <c r="L563" s="65" t="str">
        <f>IFERROR(__xludf.DUMMYFUNCTION("GOOGLETRANSLATE(B563,""en"",""es"")"),"Listo para recoger")</f>
        <v>Listo para recoger</v>
      </c>
      <c r="M563" s="64" t="str">
        <f>IFERROR(__xludf.DUMMYFUNCTION("GOOGLETRANSLATE(B563,""en"",""iw"")"),"מוכן לאיסוף")</f>
        <v>מוכן לאיסוף</v>
      </c>
      <c r="N563" s="65" t="str">
        <f>IFERROR(__xludf.DUMMYFUNCTION("GOOGLETRANSLATE(B563,""en"",""bn"")"),"পিকআপের জন্য প্রস্তুত")</f>
        <v>পিকআপের জন্য প্রস্তুত</v>
      </c>
      <c r="O563" s="4" t="str">
        <f>IFERROR(__xludf.DUMMYFUNCTION("GOOGLETRANSLATE(B563,""en"",""pt"")"),"Pronto para retirada")</f>
        <v>Pronto para retirada</v>
      </c>
    </row>
    <row r="564">
      <c r="A564" s="88" t="s">
        <v>1338</v>
      </c>
      <c r="B564" s="89" t="s">
        <v>1339</v>
      </c>
      <c r="C564" s="64" t="str">
        <f>IFERROR(__xludf.DUMMYFUNCTION("GOOGLETRANSLATE(B564,""en"",""hi"")"),"मेरी प्रस्तावित कीमत")</f>
        <v>मेरी प्रस्तावित कीमत</v>
      </c>
      <c r="D564" s="65" t="str">
        <f>IFERROR(__xludf.DUMMYFUNCTION("GOOGLETRANSLATE(B564,""en"",""ar"")"),"السعر المعروض")</f>
        <v>السعر المعروض</v>
      </c>
      <c r="E564" s="65" t="str">
        <f>IFERROR(__xludf.DUMMYFUNCTION("GOOGLETRANSLATE(B564,""en"",""fr"")"),"Mon prix proposé")</f>
        <v>Mon prix proposé</v>
      </c>
      <c r="F564" s="65" t="str">
        <f>IFERROR(__xludf.DUMMYFUNCTION("GOOGLETRANSLATE(B564,""en"",""tr"")"),"Teklif Ettiğim Fiyat")</f>
        <v>Teklif Ettiğim Fiyat</v>
      </c>
      <c r="G564" s="65" t="str">
        <f>IFERROR(__xludf.DUMMYFUNCTION("GOOGLETRANSLATE(B564,""en"",""ru"")"),"Моя предложенная цена")</f>
        <v>Моя предложенная цена</v>
      </c>
      <c r="H564" s="65" t="str">
        <f>IFERROR(__xludf.DUMMYFUNCTION("GOOGLETRANSLATE(B564,""en"",""it"")"),"Il mio prezzo offerto")</f>
        <v>Il mio prezzo offerto</v>
      </c>
      <c r="I564" s="65" t="str">
        <f>IFERROR(__xludf.DUMMYFUNCTION("GOOGLETRANSLATE(B564,""en"",""de"")"),"Mein Angebotspreis")</f>
        <v>Mein Angebotspreis</v>
      </c>
      <c r="J564" s="65" t="str">
        <f>IFERROR(__xludf.DUMMYFUNCTION("GOOGLETRANSLATE(B564,""en"",""ko"")"),"내가 제시한 가격")</f>
        <v>내가 제시한 가격</v>
      </c>
      <c r="K564" s="65" t="str">
        <f>IFERROR(__xludf.DUMMYFUNCTION("GOOGLETRANSLATE(B564,""en"",""zh"")"),"我的报价")</f>
        <v>我的报价</v>
      </c>
      <c r="L564" s="65" t="str">
        <f>IFERROR(__xludf.DUMMYFUNCTION("GOOGLETRANSLATE(B564,""en"",""es"")"),"Mi precio ofrecido")</f>
        <v>Mi precio ofrecido</v>
      </c>
      <c r="M564" s="64" t="str">
        <f>IFERROR(__xludf.DUMMYFUNCTION("GOOGLETRANSLATE(B564,""en"",""iw"")"),"המחיר המוצע שלי")</f>
        <v>המחיר המוצע שלי</v>
      </c>
      <c r="N564" s="65" t="str">
        <f>IFERROR(__xludf.DUMMYFUNCTION("GOOGLETRANSLATE(B564,""en"",""bn"")"),"আমার প্রস্তাবিত মূল্য")</f>
        <v>আমার প্রস্তাবিত মূল্য</v>
      </c>
      <c r="O564" s="4" t="str">
        <f>IFERROR(__xludf.DUMMYFUNCTION("GOOGLETRANSLATE(B564,""en"",""pt"")"),"Meu preço oferecido")</f>
        <v>Meu preço oferecido</v>
      </c>
    </row>
    <row r="565">
      <c r="A565" s="88" t="s">
        <v>1340</v>
      </c>
      <c r="B565" s="89" t="s">
        <v>1341</v>
      </c>
      <c r="C565" s="64" t="str">
        <f>IFERROR(__xludf.DUMMYFUNCTION("GOOGLETRANSLATE(B565,""en"",""hi"")"),"यहां परिवहन प्रकार चुनें")</f>
        <v>यहां परिवहन प्रकार चुनें</v>
      </c>
      <c r="D565" s="65" t="str">
        <f>IFERROR(__xludf.DUMMYFUNCTION("GOOGLETRANSLATE(B565,""en"",""ar"")"),"اختر نوع النقل هنا")</f>
        <v>اختر نوع النقل هنا</v>
      </c>
      <c r="E565" s="65" t="str">
        <f>IFERROR(__xludf.DUMMYFUNCTION("GOOGLETRANSLATE(B565,""en"",""fr"")"),"Choisissez le type de transport ici")</f>
        <v>Choisissez le type de transport ici</v>
      </c>
      <c r="F565" s="65" t="str">
        <f>IFERROR(__xludf.DUMMYFUNCTION("GOOGLETRANSLATE(B565,""en"",""tr"")"),"Taşıma Türünü Buradan Seçin")</f>
        <v>Taşıma Türünü Buradan Seçin</v>
      </c>
      <c r="G565" s="65" t="str">
        <f>IFERROR(__xludf.DUMMYFUNCTION("GOOGLETRANSLATE(B565,""en"",""ru"")"),"Выберите тип транспорта здесь")</f>
        <v>Выберите тип транспорта здесь</v>
      </c>
      <c r="H565" s="65" t="str">
        <f>IFERROR(__xludf.DUMMYFUNCTION("GOOGLETRANSLATE(B565,""en"",""it"")"),"Scegli qui il tipo di trasporto")</f>
        <v>Scegli qui il tipo di trasporto</v>
      </c>
      <c r="I565" s="65" t="str">
        <f>IFERROR(__xludf.DUMMYFUNCTION("GOOGLETRANSLATE(B565,""en"",""de"")"),"Wählen Sie hier den Transporttyp")</f>
        <v>Wählen Sie hier den Transporttyp</v>
      </c>
      <c r="J565" s="65" t="str">
        <f>IFERROR(__xludf.DUMMYFUNCTION("GOOGLETRANSLATE(B565,""en"",""ko"")"),"여기에서 운송 유형을 선택하세요")</f>
        <v>여기에서 운송 유형을 선택하세요</v>
      </c>
      <c r="K565" s="65" t="str">
        <f>IFERROR(__xludf.DUMMYFUNCTION("GOOGLETRANSLATE(B565,""en"",""zh"")"),"在此选择运输类型")</f>
        <v>在此选择运输类型</v>
      </c>
      <c r="L565" s="65" t="str">
        <f>IFERROR(__xludf.DUMMYFUNCTION("GOOGLETRANSLATE(B565,""en"",""es"")"),"Elija el tipo de transporte aquí")</f>
        <v>Elija el tipo de transporte aquí</v>
      </c>
      <c r="M565" s="64" t="str">
        <f>IFERROR(__xludf.DUMMYFUNCTION("GOOGLETRANSLATE(B565,""en"",""iw"")"),"בחר סוג תחבורה כאן")</f>
        <v>בחר סוג תחבורה כאן</v>
      </c>
      <c r="N565" s="65" t="str">
        <f>IFERROR(__xludf.DUMMYFUNCTION("GOOGLETRANSLATE(B565,""en"",""bn"")"),"এখানে পরিবহন প্রকার নির্বাচন করুন")</f>
        <v>এখানে পরিবহন প্রকার নির্বাচন করুন</v>
      </c>
      <c r="O565" s="4" t="str">
        <f>IFERROR(__xludf.DUMMYFUNCTION("GOOGLETRANSLATE(B565,""en"",""pt"")"),"Escolha o tipo de transporte aqui")</f>
        <v>Escolha o tipo de transporte aqui</v>
      </c>
    </row>
    <row r="566">
      <c r="A566" s="88" t="s">
        <v>1342</v>
      </c>
      <c r="B566" s="89" t="s">
        <v>1343</v>
      </c>
      <c r="C566" s="64" t="str">
        <f>IFERROR(__xludf.DUMMYFUNCTION("GOOGLETRANSLATE(B566,""en"",""hi"")"),"एक तरफ़ा रास्ता")</f>
        <v>एक तरफ़ा रास्ता</v>
      </c>
      <c r="D566" s="65" t="str">
        <f>IFERROR(__xludf.DUMMYFUNCTION("GOOGLETRANSLATE(B566,""en"",""ar"")"),"طريقة واحدة")</f>
        <v>طريقة واحدة</v>
      </c>
      <c r="E566" s="65" t="str">
        <f>IFERROR(__xludf.DUMMYFUNCTION("GOOGLETRANSLATE(B566,""en"",""fr"")"),"Sens Unique")</f>
        <v>Sens Unique</v>
      </c>
      <c r="F566" s="65" t="str">
        <f>IFERROR(__xludf.DUMMYFUNCTION("GOOGLETRANSLATE(B566,""en"",""tr"")"),"Tek Yön")</f>
        <v>Tek Yön</v>
      </c>
      <c r="G566" s="65" t="str">
        <f>IFERROR(__xludf.DUMMYFUNCTION("GOOGLETRANSLATE(B566,""en"",""ru"")"),"В одну сторону")</f>
        <v>В одну сторону</v>
      </c>
      <c r="H566" s="65" t="str">
        <f>IFERROR(__xludf.DUMMYFUNCTION("GOOGLETRANSLATE(B566,""en"",""it"")"),"Senso Unico")</f>
        <v>Senso Unico</v>
      </c>
      <c r="I566" s="65" t="str">
        <f>IFERROR(__xludf.DUMMYFUNCTION("GOOGLETRANSLATE(B566,""en"",""de"")"),"Ein Weg")</f>
        <v>Ein Weg</v>
      </c>
      <c r="J566" s="65" t="str">
        <f>IFERROR(__xludf.DUMMYFUNCTION("GOOGLETRANSLATE(B566,""en"",""ko"")"),"일방통행")</f>
        <v>일방통행</v>
      </c>
      <c r="K566" s="65" t="str">
        <f>IFERROR(__xludf.DUMMYFUNCTION("GOOGLETRANSLATE(B566,""en"",""zh"")"),"单程")</f>
        <v>单程</v>
      </c>
      <c r="L566" s="65" t="str">
        <f>IFERROR(__xludf.DUMMYFUNCTION("GOOGLETRANSLATE(B566,""en"",""es"")"),"De una sola mano")</f>
        <v>De una sola mano</v>
      </c>
      <c r="M566" s="64" t="str">
        <f>IFERROR(__xludf.DUMMYFUNCTION("GOOGLETRANSLATE(B566,""en"",""iw"")"),"דרך אחת")</f>
        <v>דרך אחת</v>
      </c>
      <c r="N566" s="65" t="str">
        <f>IFERROR(__xludf.DUMMYFUNCTION("GOOGLETRANSLATE(B566,""en"",""bn"")"),"এক উপায়")</f>
        <v>এক উপায়</v>
      </c>
      <c r="O566" s="4" t="str">
        <f>IFERROR(__xludf.DUMMYFUNCTION("GOOGLETRANSLATE(B566,""en"",""pt"")"),"Mão Única")</f>
        <v>Mão Única</v>
      </c>
    </row>
    <row r="567">
      <c r="A567" s="88" t="s">
        <v>1344</v>
      </c>
      <c r="B567" s="89" t="s">
        <v>1345</v>
      </c>
      <c r="C567" s="64" t="str">
        <f>IFERROR(__xludf.DUMMYFUNCTION("GOOGLETRANSLATE(B567,""en"",""hi"")"),"उतर जाओ")</f>
        <v>उतर जाओ</v>
      </c>
      <c r="D567" s="65" t="str">
        <f>IFERROR(__xludf.DUMMYFUNCTION("GOOGLETRANSLATE(B567,""en"",""ar"")"),"انزل")</f>
        <v>انزل</v>
      </c>
      <c r="E567" s="65" t="str">
        <f>IFERROR(__xludf.DUMMYFUNCTION("GOOGLETRANSLATE(B567,""en"",""fr"")"),"Se faire déposer")</f>
        <v>Se faire déposer</v>
      </c>
      <c r="F567" s="65" t="str">
        <f>IFERROR(__xludf.DUMMYFUNCTION("GOOGLETRANSLATE(B567,""en"",""tr"")"),"Bırakılın")</f>
        <v>Bırakılın</v>
      </c>
      <c r="G567" s="65" t="str">
        <f>IFERROR(__xludf.DUMMYFUNCTION("GOOGLETRANSLATE(B567,""en"",""ru"")"),"Получить высадку")</f>
        <v>Получить высадку</v>
      </c>
      <c r="H567" s="65" t="str">
        <f>IFERROR(__xludf.DUMMYFUNCTION("GOOGLETRANSLATE(B567,""en"",""it"")"),"Lasciati andare")</f>
        <v>Lasciati andare</v>
      </c>
      <c r="I567" s="65" t="str">
        <f>IFERROR(__xludf.DUMMYFUNCTION("GOOGLETRANSLATE(B567,""en"",""de"")"),"Lassen Sie sich absetzen")</f>
        <v>Lassen Sie sich absetzen</v>
      </c>
      <c r="J567" s="65" t="str">
        <f>IFERROR(__xludf.DUMMYFUNCTION("GOOGLETRANSLATE(B567,""en"",""ko"")"),"하차하세요")</f>
        <v>하차하세요</v>
      </c>
      <c r="K567" s="65" t="str">
        <f>IFERROR(__xludf.DUMMYFUNCTION("GOOGLETRANSLATE(B567,""en"",""zh"")"),"下车")</f>
        <v>下车</v>
      </c>
      <c r="L567" s="65" t="str">
        <f>IFERROR(__xludf.DUMMYFUNCTION("GOOGLETRANSLATE(B567,""en"",""es"")"),"Que lo dejen")</f>
        <v>Que lo dejen</v>
      </c>
      <c r="M567" s="64" t="str">
        <f>IFERROR(__xludf.DUMMYFUNCTION("GOOGLETRANSLATE(B567,""en"",""iw"")"),"תוריד")</f>
        <v>תוריד</v>
      </c>
      <c r="N567" s="65" t="str">
        <f>IFERROR(__xludf.DUMMYFUNCTION("GOOGLETRANSLATE(B567,""en"",""bn"")"),"বাদ পড়ে যান")</f>
        <v>বাদ পড়ে যান</v>
      </c>
      <c r="O567" s="4" t="str">
        <f>IFERROR(__xludf.DUMMYFUNCTION("GOOGLETRANSLATE(B567,""en"",""pt"")"),"Seja deixado")</f>
        <v>Seja deixado</v>
      </c>
    </row>
    <row r="568">
      <c r="A568" s="88" t="s">
        <v>1346</v>
      </c>
      <c r="B568" s="89" t="s">
        <v>1347</v>
      </c>
      <c r="C568" s="64" t="str">
        <f>IFERROR(__xludf.DUMMYFUNCTION("GOOGLETRANSLATE(B568,""en"",""hi"")"),"राउंड ट्रिप")</f>
        <v>राउंड ट्रिप</v>
      </c>
      <c r="D568" s="65" t="str">
        <f>IFERROR(__xludf.DUMMYFUNCTION("GOOGLETRANSLATE(B568,""en"",""ar"")"),"رحلة ذهاب وعودة")</f>
        <v>رحلة ذهاب وعودة</v>
      </c>
      <c r="E568" s="65" t="str">
        <f>IFERROR(__xludf.DUMMYFUNCTION("GOOGLETRANSLATE(B568,""en"",""fr"")"),"Aller-retour")</f>
        <v>Aller-retour</v>
      </c>
      <c r="F568" s="65" t="str">
        <f>IFERROR(__xludf.DUMMYFUNCTION("GOOGLETRANSLATE(B568,""en"",""tr"")"),"Gidiş")</f>
        <v>Gidiş</v>
      </c>
      <c r="G568" s="65" t="str">
        <f>IFERROR(__xludf.DUMMYFUNCTION("GOOGLETRANSLATE(B568,""en"",""ru"")"),"Поездка туда и обратно")</f>
        <v>Поездка туда и обратно</v>
      </c>
      <c r="H568" s="65" t="str">
        <f>IFERROR(__xludf.DUMMYFUNCTION("GOOGLETRANSLATE(B568,""en"",""it"")"),"Andata e ritorno")</f>
        <v>Andata e ritorno</v>
      </c>
      <c r="I568" s="65" t="str">
        <f>IFERROR(__xludf.DUMMYFUNCTION("GOOGLETRANSLATE(B568,""en"",""de"")"),"Rundfahrt")</f>
        <v>Rundfahrt</v>
      </c>
      <c r="J568" s="65" t="str">
        <f>IFERROR(__xludf.DUMMYFUNCTION("GOOGLETRANSLATE(B568,""en"",""ko"")"),"왕복")</f>
        <v>왕복</v>
      </c>
      <c r="K568" s="65" t="str">
        <f>IFERROR(__xludf.DUMMYFUNCTION("GOOGLETRANSLATE(B568,""en"",""zh"")"),"往返")</f>
        <v>往返</v>
      </c>
      <c r="L568" s="65" t="str">
        <f>IFERROR(__xludf.DUMMYFUNCTION("GOOGLETRANSLATE(B568,""en"",""es"")"),"Ida y vuelta")</f>
        <v>Ida y vuelta</v>
      </c>
      <c r="M568" s="64" t="str">
        <f>IFERROR(__xludf.DUMMYFUNCTION("GOOGLETRANSLATE(B568,""en"",""iw"")"),"הלוך ושוב")</f>
        <v>הלוך ושוב</v>
      </c>
      <c r="N568" s="65" t="str">
        <f>IFERROR(__xludf.DUMMYFUNCTION("GOOGLETRANSLATE(B568,""en"",""bn"")"),"রাউন্ড ট্রিপ")</f>
        <v>রাউন্ড ট্রিপ</v>
      </c>
      <c r="O568" s="4" t="str">
        <f>IFERROR(__xludf.DUMMYFUNCTION("GOOGLETRANSLATE(B568,""en"",""pt"")"),"Ida e volta")</f>
        <v>Ida e volta</v>
      </c>
    </row>
    <row r="569">
      <c r="A569" s="88" t="s">
        <v>1348</v>
      </c>
      <c r="B569" s="90" t="s">
        <v>1349</v>
      </c>
      <c r="C569" s="64" t="str">
        <f>IFERROR(__xludf.DUMMYFUNCTION("GOOGLETRANSLATE(B569,""en"",""hi"")"),"वापसी तक कार रखें")</f>
        <v>वापसी तक कार रखें</v>
      </c>
      <c r="D569" s="65" t="str">
        <f>IFERROR(__xludf.DUMMYFUNCTION("GOOGLETRANSLATE(B569,""en"",""ar"")"),"احتفظ بالسيارة حتى العودة")</f>
        <v>احتفظ بالسيارة حتى العودة</v>
      </c>
      <c r="E569" s="65" t="str">
        <f>IFERROR(__xludf.DUMMYFUNCTION("GOOGLETRANSLATE(B569,""en"",""fr"")"),"Gardez la voiture jusqu'au retour")</f>
        <v>Gardez la voiture jusqu'au retour</v>
      </c>
      <c r="F569" s="65" t="str">
        <f>IFERROR(__xludf.DUMMYFUNCTION("GOOGLETRANSLATE(B569,""en"",""tr"")"),"Arabayı iade edene kadar saklayın")</f>
        <v>Arabayı iade edene kadar saklayın</v>
      </c>
      <c r="G569" s="65" t="str">
        <f>IFERROR(__xludf.DUMMYFUNCTION("GOOGLETRANSLATE(B569,""en"",""ru"")"),"Оставьте машину до возвращения")</f>
        <v>Оставьте машину до возвращения</v>
      </c>
      <c r="H569" s="65" t="str">
        <f>IFERROR(__xludf.DUMMYFUNCTION("GOOGLETRANSLATE(B569,""en"",""it"")"),"Tieni l'auto fino alla restituzione")</f>
        <v>Tieni l'auto fino alla restituzione</v>
      </c>
      <c r="I569" s="65" t="str">
        <f>IFERROR(__xludf.DUMMYFUNCTION("GOOGLETRANSLATE(B569,""en"",""de"")"),"Behalten Sie das Auto bis zur Rückgabe")</f>
        <v>Behalten Sie das Auto bis zur Rückgabe</v>
      </c>
      <c r="J569" s="65" t="str">
        <f>IFERROR(__xludf.DUMMYFUNCTION("GOOGLETRANSLATE(B569,""en"",""ko"")"),"돌아올 때까지 차를 보관하세요")</f>
        <v>돌아올 때까지 차를 보관하세요</v>
      </c>
      <c r="K569" s="65" t="str">
        <f>IFERROR(__xludf.DUMMYFUNCTION("GOOGLETRANSLATE(B569,""en"",""zh"")"),"保留车辆直至归还")</f>
        <v>保留车辆直至归还</v>
      </c>
      <c r="L569" s="65" t="str">
        <f>IFERROR(__xludf.DUMMYFUNCTION("GOOGLETRANSLATE(B569,""en"",""es"")"),"Conserve el coche hasta su devolución")</f>
        <v>Conserve el coche hasta su devolución</v>
      </c>
      <c r="M569" s="64" t="str">
        <f>IFERROR(__xludf.DUMMYFUNCTION("GOOGLETRANSLATE(B569,""en"",""iw"")"),"שמור את המכונית עד החזרה")</f>
        <v>שמור את המכונית עד החזרה</v>
      </c>
      <c r="N569" s="65" t="str">
        <f>IFERROR(__xludf.DUMMYFUNCTION("GOOGLETRANSLATE(B569,""en"",""bn"")"),"ফিরে আসা পর্যন্ত গাড়ি রাখুন")</f>
        <v>ফিরে আসা পর্যন্ত গাড়ি রাখুন</v>
      </c>
      <c r="O569" s="4" t="str">
        <f>IFERROR(__xludf.DUMMYFUNCTION("GOOGLETRANSLATE(B569,""en"",""pt"")"),"Fique com o carro até o retorno")</f>
        <v>Fique com o carro até o retorno</v>
      </c>
    </row>
    <row r="570">
      <c r="A570" s="88" t="s">
        <v>1350</v>
      </c>
      <c r="B570" s="91" t="s">
        <v>1351</v>
      </c>
      <c r="C570" s="64" t="str">
        <f>IFERROR(__xludf.DUMMYFUNCTION("GOOGLETRANSLATE(B570,""en"",""hi"")"),"चुनना")</f>
        <v>चुनना</v>
      </c>
      <c r="D570" s="65" t="str">
        <f>IFERROR(__xludf.DUMMYFUNCTION("GOOGLETRANSLATE(B570,""en"",""ar"")"),"يختار")</f>
        <v>يختار</v>
      </c>
      <c r="E570" s="65" t="str">
        <f>IFERROR(__xludf.DUMMYFUNCTION("GOOGLETRANSLATE(B570,""en"",""fr"")"),"Sélectionner")</f>
        <v>Sélectionner</v>
      </c>
      <c r="F570" s="65" t="str">
        <f>IFERROR(__xludf.DUMMYFUNCTION("GOOGLETRANSLATE(B570,""en"",""tr"")"),"Seçme")</f>
        <v>Seçme</v>
      </c>
      <c r="G570" s="65" t="str">
        <f>IFERROR(__xludf.DUMMYFUNCTION("GOOGLETRANSLATE(B570,""en"",""ru"")"),"Выбирать")</f>
        <v>Выбирать</v>
      </c>
      <c r="H570" s="65" t="str">
        <f>IFERROR(__xludf.DUMMYFUNCTION("GOOGLETRANSLATE(B570,""en"",""it"")"),"Selezionare")</f>
        <v>Selezionare</v>
      </c>
      <c r="I570" s="65" t="str">
        <f>IFERROR(__xludf.DUMMYFUNCTION("GOOGLETRANSLATE(B570,""en"",""de"")"),"Wählen")</f>
        <v>Wählen</v>
      </c>
      <c r="J570" s="65" t="str">
        <f>IFERROR(__xludf.DUMMYFUNCTION("GOOGLETRANSLATE(B570,""en"",""ko"")"),"선택하다")</f>
        <v>선택하다</v>
      </c>
      <c r="K570" s="65" t="str">
        <f>IFERROR(__xludf.DUMMYFUNCTION("GOOGLETRANSLATE(B570,""en"",""zh"")"),"选择")</f>
        <v>选择</v>
      </c>
      <c r="L570" s="65" t="str">
        <f>IFERROR(__xludf.DUMMYFUNCTION("GOOGLETRANSLATE(B570,""en"",""es"")"),"Seleccionar")</f>
        <v>Seleccionar</v>
      </c>
      <c r="M570" s="64" t="str">
        <f>IFERROR(__xludf.DUMMYFUNCTION("GOOGLETRANSLATE(B570,""en"",""iw"")"),"לִבחוֹר")</f>
        <v>לִבחוֹר</v>
      </c>
      <c r="N570" s="65" t="str">
        <f>IFERROR(__xludf.DUMMYFUNCTION("GOOGLETRANSLATE(B570,""en"",""bn"")"),"নির্বাচন করুন")</f>
        <v>নির্বাচন করুন</v>
      </c>
      <c r="O570" s="4" t="str">
        <f>IFERROR(__xludf.DUMMYFUNCTION("GOOGLETRANSLATE(B570,""en"",""pt"")"),"Selecione")</f>
        <v>Selecione</v>
      </c>
    </row>
    <row r="571">
      <c r="A571" s="88" t="s">
        <v>1352</v>
      </c>
      <c r="B571" s="91" t="s">
        <v>1353</v>
      </c>
      <c r="C571" s="64" t="str">
        <f>IFERROR(__xludf.DUMMYFUNCTION("GOOGLETRANSLATE(B571,""en"",""hi"")"),"एकतरफ़ा यात्रा का कार्यक्रम बनाएं")</f>
        <v>एकतरफ़ा यात्रा का कार्यक्रम बनाएं</v>
      </c>
      <c r="D571" s="65" t="str">
        <f>IFERROR(__xludf.DUMMYFUNCTION("GOOGLETRANSLATE(B571,""en"",""ar"")"),"جدولة رحلة ذهاب فقط")</f>
        <v>جدولة رحلة ذهاب فقط</v>
      </c>
      <c r="E571" s="65" t="str">
        <f>IFERROR(__xludf.DUMMYFUNCTION("GOOGLETRANSLATE(B571,""en"",""fr"")"),"Planifier un voyage aller simple")</f>
        <v>Planifier un voyage aller simple</v>
      </c>
      <c r="F571" s="65" t="str">
        <f>IFERROR(__xludf.DUMMYFUNCTION("GOOGLETRANSLATE(B571,""en"",""tr"")"),"Tek Yönlü Seyahat Planlayın")</f>
        <v>Tek Yönlü Seyahat Planlayın</v>
      </c>
      <c r="G571" s="65" t="str">
        <f>IFERROR(__xludf.DUMMYFUNCTION("GOOGLETRANSLATE(B571,""en"",""ru"")"),"Запланируйте поездку в один конец")</f>
        <v>Запланируйте поездку в один конец</v>
      </c>
      <c r="H571" s="65" t="str">
        <f>IFERROR(__xludf.DUMMYFUNCTION("GOOGLETRANSLATE(B571,""en"",""it"")"),"Pianifica un viaggio di sola andata")</f>
        <v>Pianifica un viaggio di sola andata</v>
      </c>
      <c r="I571" s="65" t="str">
        <f>IFERROR(__xludf.DUMMYFUNCTION("GOOGLETRANSLATE(B571,""en"",""de"")"),"Planen Sie eine einfache Fahrt")</f>
        <v>Planen Sie eine einfache Fahrt</v>
      </c>
      <c r="J571" s="65" t="str">
        <f>IFERROR(__xludf.DUMMYFUNCTION("GOOGLETRANSLATE(B571,""en"",""ko"")"),"편도 여행 일정")</f>
        <v>편도 여행 일정</v>
      </c>
      <c r="K571" s="65" t="str">
        <f>IFERROR(__xludf.DUMMYFUNCTION("GOOGLETRANSLATE(B571,""en"",""zh"")"),"安排单程行程")</f>
        <v>安排单程行程</v>
      </c>
      <c r="L571" s="65" t="str">
        <f>IFERROR(__xludf.DUMMYFUNCTION("GOOGLETRANSLATE(B571,""en"",""es"")"),"Programar viaje de ida")</f>
        <v>Programar viaje de ida</v>
      </c>
      <c r="M571" s="64" t="str">
        <f>IFERROR(__xludf.DUMMYFUNCTION("GOOGLETRANSLATE(B571,""en"",""iw"")"),"קבע מועד טיול בכיוון אחד")</f>
        <v>קבע מועד טיול בכיוון אחד</v>
      </c>
      <c r="N571" s="65" t="str">
        <f>IFERROR(__xludf.DUMMYFUNCTION("GOOGLETRANSLATE(B571,""en"",""bn"")"),"ওয়ান-ওয়ে ট্রিপের সময়সূচী করুন")</f>
        <v>ওয়ান-ওয়ে ট্রিপের সময়সূচী করুন</v>
      </c>
      <c r="O571" s="4" t="str">
        <f>IFERROR(__xludf.DUMMYFUNCTION("GOOGLETRANSLATE(B571,""en"",""pt"")"),"Agende uma viagem só de ida")</f>
        <v>Agende uma viagem só de ida</v>
      </c>
    </row>
    <row r="572">
      <c r="A572" s="88" t="s">
        <v>1354</v>
      </c>
      <c r="B572" s="91" t="s">
        <v>1355</v>
      </c>
      <c r="C572" s="64" t="str">
        <f>IFERROR(__xludf.DUMMYFUNCTION("GOOGLETRANSLATE(B572,""en"",""hi"")"),"राउंड-ट्रिप का कार्यक्रम")</f>
        <v>राउंड-ट्रिप का कार्यक्रम</v>
      </c>
      <c r="D572" s="65" t="str">
        <f>IFERROR(__xludf.DUMMYFUNCTION("GOOGLETRANSLATE(B572,""en"",""ar"")"),"جدول الرحلات ذهابًا وإيابًا")</f>
        <v>جدول الرحلات ذهابًا وإيابًا</v>
      </c>
      <c r="E572" s="65" t="str">
        <f>IFERROR(__xludf.DUMMYFUNCTION("GOOGLETRANSLATE(B572,""en"",""fr"")"),"Horaire aller-retour")</f>
        <v>Horaire aller-retour</v>
      </c>
      <c r="F572" s="65" t="str">
        <f>IFERROR(__xludf.DUMMYFUNCTION("GOOGLETRANSLATE(B572,""en"",""tr"")"),"Gidiş-Dönüş Programı")</f>
        <v>Gidiş-Dönüş Programı</v>
      </c>
      <c r="G572" s="65" t="str">
        <f>IFERROR(__xludf.DUMMYFUNCTION("GOOGLETRANSLATE(B572,""en"",""ru"")"),"Расписание туда и обратно")</f>
        <v>Расписание туда и обратно</v>
      </c>
      <c r="H572" s="65" t="str">
        <f>IFERROR(__xludf.DUMMYFUNCTION("GOOGLETRANSLATE(B572,""en"",""it"")"),"Programma Andata e Ritorno")</f>
        <v>Programma Andata e Ritorno</v>
      </c>
      <c r="I572" s="65" t="str">
        <f>IFERROR(__xludf.DUMMYFUNCTION("GOOGLETRANSLATE(B572,""en"",""de"")"),"Zeitplan Hin- und Rückfahrt")</f>
        <v>Zeitplan Hin- und Rückfahrt</v>
      </c>
      <c r="J572" s="65" t="str">
        <f>IFERROR(__xludf.DUMMYFUNCTION("GOOGLETRANSLATE(B572,""en"",""ko"")"),"왕복 일정")</f>
        <v>왕복 일정</v>
      </c>
      <c r="K572" s="65" t="str">
        <f>IFERROR(__xludf.DUMMYFUNCTION("GOOGLETRANSLATE(B572,""en"",""zh"")"),"往返行程安排")</f>
        <v>往返行程安排</v>
      </c>
      <c r="L572" s="65" t="str">
        <f>IFERROR(__xludf.DUMMYFUNCTION("GOOGLETRANSLATE(B572,""en"",""es"")"),"Horario de ida y vuelta")</f>
        <v>Horario de ida y vuelta</v>
      </c>
      <c r="M572" s="64" t="str">
        <f>IFERROR(__xludf.DUMMYFUNCTION("GOOGLETRANSLATE(B572,""en"",""iw"")"),"לוח זמנים הלוך ושוב - טיול")</f>
        <v>לוח זמנים הלוך ושוב - טיול</v>
      </c>
      <c r="N572" s="65" t="str">
        <f>IFERROR(__xludf.DUMMYFUNCTION("GOOGLETRANSLATE(B572,""en"",""bn"")"),"শিডিউল রাউন্ড - ট্রিপ")</f>
        <v>শিডিউল রাউন্ড - ট্রিপ</v>
      </c>
      <c r="O572" s="4" t="str">
        <f>IFERROR(__xludf.DUMMYFUNCTION("GOOGLETRANSLATE(B572,""en"",""pt"")"),"Horário de ida e volta")</f>
        <v>Horário de ida e volta</v>
      </c>
    </row>
    <row r="573">
      <c r="A573" s="88" t="s">
        <v>1356</v>
      </c>
      <c r="B573" s="91" t="s">
        <v>1357</v>
      </c>
      <c r="C573" s="64" t="str">
        <f>IFERROR(__xludf.DUMMYFUNCTION("GOOGLETRANSLATE(B573,""en"",""hi"")"),"पर छोड़ दो")</f>
        <v>पर छोड़ दो</v>
      </c>
      <c r="D573" s="65" t="str">
        <f>IFERROR(__xludf.DUMMYFUNCTION("GOOGLETRANSLATE(B573,""en"",""ar"")"),"اتركه")</f>
        <v>اتركه</v>
      </c>
      <c r="E573" s="65" t="str">
        <f>IFERROR(__xludf.DUMMYFUNCTION("GOOGLETRANSLATE(B573,""en"",""fr"")"),"Laisser allumé")</f>
        <v>Laisser allumé</v>
      </c>
      <c r="F573" s="65" t="str">
        <f>IFERROR(__xludf.DUMMYFUNCTION("GOOGLETRANSLATE(B573,""en"",""tr"")"),"Açık Bırak")</f>
        <v>Açık Bırak</v>
      </c>
      <c r="G573" s="65" t="str">
        <f>IFERROR(__xludf.DUMMYFUNCTION("GOOGLETRANSLATE(B573,""en"",""ru"")"),"Оставить включенным")</f>
        <v>Оставить включенным</v>
      </c>
      <c r="H573" s="65" t="str">
        <f>IFERROR(__xludf.DUMMYFUNCTION("GOOGLETRANSLATE(B573,""en"",""it"")"),"Lasciare acceso")</f>
        <v>Lasciare acceso</v>
      </c>
      <c r="I573" s="65" t="str">
        <f>IFERROR(__xludf.DUMMYFUNCTION("GOOGLETRANSLATE(B573,""en"",""de"")"),"Einschalten")</f>
        <v>Einschalten</v>
      </c>
      <c r="J573" s="65" t="str">
        <f>IFERROR(__xludf.DUMMYFUNCTION("GOOGLETRANSLATE(B573,""en"",""ko"")"),"남겨두세요")</f>
        <v>남겨두세요</v>
      </c>
      <c r="K573" s="65" t="str">
        <f>IFERROR(__xludf.DUMMYFUNCTION("GOOGLETRANSLATE(B573,""en"",""zh"")"),"离开")</f>
        <v>离开</v>
      </c>
      <c r="L573" s="65" t="str">
        <f>IFERROR(__xludf.DUMMYFUNCTION("GOOGLETRANSLATE(B573,""en"",""es"")"),"Dejar encendido")</f>
        <v>Dejar encendido</v>
      </c>
      <c r="M573" s="64" t="str">
        <f>IFERROR(__xludf.DUMMYFUNCTION("GOOGLETRANSLATE(B573,""en"",""iw"")"),"השאר")</f>
        <v>השאר</v>
      </c>
      <c r="N573" s="65" t="str">
        <f>IFERROR(__xludf.DUMMYFUNCTION("GOOGLETRANSLATE(B573,""en"",""bn"")"),"ছেড়ে দিন")</f>
        <v>ছেড়ে দিন</v>
      </c>
      <c r="O573" s="4" t="str">
        <f>IFERROR(__xludf.DUMMYFUNCTION("GOOGLETRANSLATE(B573,""en"",""pt"")"),"Deixar ligado")</f>
        <v>Deixar ligado</v>
      </c>
    </row>
    <row r="574">
      <c r="A574" s="88" t="s">
        <v>1358</v>
      </c>
      <c r="B574" s="91" t="s">
        <v>1359</v>
      </c>
      <c r="C574" s="64" t="str">
        <f>IFERROR(__xludf.DUMMYFUNCTION("GOOGLETRANSLATE(B574,""en"",""hi"")"),"वापसी")</f>
        <v>वापसी</v>
      </c>
      <c r="D574" s="65" t="str">
        <f>IFERROR(__xludf.DUMMYFUNCTION("GOOGLETRANSLATE(B574,""en"",""ar"")"),"العودة بواسطة")</f>
        <v>العودة بواسطة</v>
      </c>
      <c r="E574" s="65" t="str">
        <f>IFERROR(__xludf.DUMMYFUNCTION("GOOGLETRANSLATE(B574,""en"",""fr"")"),"Retour par")</f>
        <v>Retour par</v>
      </c>
      <c r="F574" s="65" t="str">
        <f>IFERROR(__xludf.DUMMYFUNCTION("GOOGLETRANSLATE(B574,""en"",""tr"")"),"Geri Dönüş")</f>
        <v>Geri Dönüş</v>
      </c>
      <c r="G574" s="65" t="str">
        <f>IFERROR(__xludf.DUMMYFUNCTION("GOOGLETRANSLATE(B574,""en"",""ru"")"),"Возврат к")</f>
        <v>Возврат к</v>
      </c>
      <c r="H574" s="65" t="str">
        <f>IFERROR(__xludf.DUMMYFUNCTION("GOOGLETRANSLATE(B574,""en"",""it"")"),"Ritorno da")</f>
        <v>Ritorno da</v>
      </c>
      <c r="I574" s="65" t="str">
        <f>IFERROR(__xludf.DUMMYFUNCTION("GOOGLETRANSLATE(B574,""en"",""de"")"),"Zurück bis")</f>
        <v>Zurück bis</v>
      </c>
      <c r="J574" s="65" t="str">
        <f>IFERROR(__xludf.DUMMYFUNCTION("GOOGLETRANSLATE(B574,""en"",""ko"")"),"반환 시간")</f>
        <v>반환 시간</v>
      </c>
      <c r="K574" s="65" t="str">
        <f>IFERROR(__xludf.DUMMYFUNCTION("GOOGLETRANSLATE(B574,""en"",""zh"")"),"返回方式")</f>
        <v>返回方式</v>
      </c>
      <c r="L574" s="65" t="str">
        <f>IFERROR(__xludf.DUMMYFUNCTION("GOOGLETRANSLATE(B574,""en"",""es"")"),"Regresar por")</f>
        <v>Regresar por</v>
      </c>
      <c r="M574" s="64" t="str">
        <f>IFERROR(__xludf.DUMMYFUNCTION("GOOGLETRANSLATE(B574,""en"",""iw"")"),"חזרה לפי")</f>
        <v>חזרה לפי</v>
      </c>
      <c r="N574" s="65" t="str">
        <f>IFERROR(__xludf.DUMMYFUNCTION("GOOGLETRANSLATE(B574,""en"",""bn"")"),"দ্বারা প্রত্যাবর্তন")</f>
        <v>দ্বারা প্রত্যাবর্তন</v>
      </c>
      <c r="O574" s="4" t="str">
        <f>IFERROR(__xludf.DUMMYFUNCTION("GOOGLETRANSLATE(B574,""en"",""pt"")"),"Retornar por")</f>
        <v>Retornar por</v>
      </c>
    </row>
    <row r="575">
      <c r="A575" s="88" t="s">
        <v>1360</v>
      </c>
      <c r="B575" s="91" t="s">
        <v>1361</v>
      </c>
      <c r="C575" s="64" t="str">
        <f>IFERROR(__xludf.DUMMYFUNCTION("GOOGLETRANSLATE(B575,""en"",""hi"")"),"बुकिंग के लिए")</f>
        <v>बुकिंग के लिए</v>
      </c>
      <c r="D575" s="65" t="str">
        <f>IFERROR(__xludf.DUMMYFUNCTION("GOOGLETRANSLATE(B575,""en"",""ar"")"),"الحجز ل")</f>
        <v>الحجز ل</v>
      </c>
      <c r="E575" s="65" t="str">
        <f>IFERROR(__xludf.DUMMYFUNCTION("GOOGLETRANSLATE(B575,""en"",""fr"")"),"Réservation pour")</f>
        <v>Réservation pour</v>
      </c>
      <c r="F575" s="65" t="str">
        <f>IFERROR(__xludf.DUMMYFUNCTION("GOOGLETRANSLATE(B575,""en"",""tr"")"),"Rezervasyon İçin")</f>
        <v>Rezervasyon İçin</v>
      </c>
      <c r="G575" s="65" t="str">
        <f>IFERROR(__xludf.DUMMYFUNCTION("GOOGLETRANSLATE(B575,""en"",""ru"")"),"Бронирование для")</f>
        <v>Бронирование для</v>
      </c>
      <c r="H575" s="65" t="str">
        <f>IFERROR(__xludf.DUMMYFUNCTION("GOOGLETRANSLATE(B575,""en"",""it"")"),"Prenotazione per")</f>
        <v>Prenotazione per</v>
      </c>
      <c r="I575" s="65" t="str">
        <f>IFERROR(__xludf.DUMMYFUNCTION("GOOGLETRANSLATE(B575,""en"",""de"")"),"Buchung für")</f>
        <v>Buchung für</v>
      </c>
      <c r="J575" s="65" t="str">
        <f>IFERROR(__xludf.DUMMYFUNCTION("GOOGLETRANSLATE(B575,""en"",""ko"")"),"예약")</f>
        <v>예약</v>
      </c>
      <c r="K575" s="65" t="str">
        <f>IFERROR(__xludf.DUMMYFUNCTION("GOOGLETRANSLATE(B575,""en"",""zh"")"),"预订")</f>
        <v>预订</v>
      </c>
      <c r="L575" s="65" t="str">
        <f>IFERROR(__xludf.DUMMYFUNCTION("GOOGLETRANSLATE(B575,""en"",""es"")"),"Reserva para")</f>
        <v>Reserva para</v>
      </c>
      <c r="M575" s="64" t="str">
        <f>IFERROR(__xludf.DUMMYFUNCTION("GOOGLETRANSLATE(B575,""en"",""iw"")"),"הזמנה עבור")</f>
        <v>הזמנה עבור</v>
      </c>
      <c r="N575" s="65" t="str">
        <f>IFERROR(__xludf.DUMMYFUNCTION("GOOGLETRANSLATE(B575,""en"",""bn"")"),"জন্য বুকিং")</f>
        <v>জন্য বুকিং</v>
      </c>
      <c r="O575" s="4" t="str">
        <f>IFERROR(__xludf.DUMMYFUNCTION("GOOGLETRANSLATE(B575,""en"",""pt"")"),"Reserva para")</f>
        <v>Reserva para</v>
      </c>
    </row>
    <row r="576">
      <c r="A576" s="88" t="s">
        <v>1362</v>
      </c>
      <c r="B576" s="91" t="s">
        <v>1363</v>
      </c>
      <c r="C576" s="64" t="str">
        <f>IFERROR(__xludf.DUMMYFUNCTION("GOOGLETRANSLATE(B576,""en"",""hi"")"),"प्रस्तावित बोलियां")</f>
        <v>प्रस्तावित बोलियां</v>
      </c>
      <c r="D576" s="65" t="str">
        <f>IFERROR(__xludf.DUMMYFUNCTION("GOOGLETRANSLATE(B576,""en"",""ar"")"),"العروض المقدمة")</f>
        <v>العروض المقدمة</v>
      </c>
      <c r="E576" s="65" t="str">
        <f>IFERROR(__xludf.DUMMYFUNCTION("GOOGLETRANSLATE(B576,""en"",""fr"")"),"Offres offertes")</f>
        <v>Offres offertes</v>
      </c>
      <c r="F576" s="65" t="str">
        <f>IFERROR(__xludf.DUMMYFUNCTION("GOOGLETRANSLATE(B576,""en"",""tr"")"),"Teklif Edilen Teklifler")</f>
        <v>Teklif Edilen Teklifler</v>
      </c>
      <c r="G576" s="65" t="str">
        <f>IFERROR(__xludf.DUMMYFUNCTION("GOOGLETRANSLATE(B576,""en"",""ru"")"),"Предложенные ставки")</f>
        <v>Предложенные ставки</v>
      </c>
      <c r="H576" s="65" t="str">
        <f>IFERROR(__xludf.DUMMYFUNCTION("GOOGLETRANSLATE(B576,""en"",""it"")"),"Offerte offerte")</f>
        <v>Offerte offerte</v>
      </c>
      <c r="I576" s="65" t="str">
        <f>IFERROR(__xludf.DUMMYFUNCTION("GOOGLETRANSLATE(B576,""en"",""de"")"),"Angebotene Gebote")</f>
        <v>Angebotene Gebote</v>
      </c>
      <c r="J576" s="65" t="str">
        <f>IFERROR(__xludf.DUMMYFUNCTION("GOOGLETRANSLATE(B576,""en"",""ko"")"),"제안된 입찰")</f>
        <v>제안된 입찰</v>
      </c>
      <c r="K576" s="65" t="str">
        <f>IFERROR(__xludf.DUMMYFUNCTION("GOOGLETRANSLATE(B576,""en"",""zh"")"),"已提供投标")</f>
        <v>已提供投标</v>
      </c>
      <c r="L576" s="65" t="str">
        <f>IFERROR(__xludf.DUMMYFUNCTION("GOOGLETRANSLATE(B576,""en"",""es"")"),"Ofertas ofrecidas")</f>
        <v>Ofertas ofrecidas</v>
      </c>
      <c r="M576" s="64" t="str">
        <f>IFERROR(__xludf.DUMMYFUNCTION("GOOGLETRANSLATE(B576,""en"",""iw"")"),"הצעות שהוצעו")</f>
        <v>הצעות שהוצעו</v>
      </c>
      <c r="N576" s="65" t="str">
        <f>IFERROR(__xludf.DUMMYFUNCTION("GOOGLETRANSLATE(B576,""en"",""bn"")"),"প্রস্তাবিত বিড")</f>
        <v>প্রস্তাবিত বিড</v>
      </c>
      <c r="O576" s="4" t="str">
        <f>IFERROR(__xludf.DUMMYFUNCTION("GOOGLETRANSLATE(B576,""en"",""pt"")"),"Lances oferecidos")</f>
        <v>Lances oferecidos</v>
      </c>
    </row>
    <row r="577">
      <c r="A577" s="88" t="s">
        <v>1364</v>
      </c>
      <c r="B577" s="91" t="s">
        <v>1365</v>
      </c>
      <c r="C577" s="64" t="str">
        <f>IFERROR(__xludf.DUMMYFUNCTION("GOOGLETRANSLATE(B577,""en"",""hi"")"),"शुरुआत")</f>
        <v>शुरुआत</v>
      </c>
      <c r="D577" s="65" t="str">
        <f>IFERROR(__xludf.DUMMYFUNCTION("GOOGLETRANSLATE(B577,""en"",""ar"")"),"البدء")</f>
        <v>البدء</v>
      </c>
      <c r="E577" s="65" t="str">
        <f>IFERROR(__xludf.DUMMYFUNCTION("GOOGLETRANSLATE(B577,""en"",""fr"")"),"Départ")</f>
        <v>Départ</v>
      </c>
      <c r="F577" s="65" t="str">
        <f>IFERROR(__xludf.DUMMYFUNCTION("GOOGLETRANSLATE(B577,""en"",""tr"")"),"Başlangıç")</f>
        <v>Başlangıç</v>
      </c>
      <c r="G577" s="65" t="str">
        <f>IFERROR(__xludf.DUMMYFUNCTION("GOOGLETRANSLATE(B577,""en"",""ru"")"),"Начиная")</f>
        <v>Начиная</v>
      </c>
      <c r="H577" s="65" t="str">
        <f>IFERROR(__xludf.DUMMYFUNCTION("GOOGLETRANSLATE(B577,""en"",""it"")"),"Di partenza")</f>
        <v>Di partenza</v>
      </c>
      <c r="I577" s="65" t="str">
        <f>IFERROR(__xludf.DUMMYFUNCTION("GOOGLETRANSLATE(B577,""en"",""de"")"),"Starten")</f>
        <v>Starten</v>
      </c>
      <c r="J577" s="65" t="str">
        <f>IFERROR(__xludf.DUMMYFUNCTION("GOOGLETRANSLATE(B577,""en"",""ko"")"),"시작")</f>
        <v>시작</v>
      </c>
      <c r="K577" s="65" t="str">
        <f>IFERROR(__xludf.DUMMYFUNCTION("GOOGLETRANSLATE(B577,""en"",""zh"")"),"开始")</f>
        <v>开始</v>
      </c>
      <c r="L577" s="65" t="str">
        <f>IFERROR(__xludf.DUMMYFUNCTION("GOOGLETRANSLATE(B577,""en"",""es"")"),"A partir de")</f>
        <v>A partir de</v>
      </c>
      <c r="M577" s="64" t="str">
        <f>IFERROR(__xludf.DUMMYFUNCTION("GOOGLETRANSLATE(B577,""en"",""iw"")"),"מתחיל")</f>
        <v>מתחיל</v>
      </c>
      <c r="N577" s="65" t="str">
        <f>IFERROR(__xludf.DUMMYFUNCTION("GOOGLETRANSLATE(B577,""en"",""bn"")"),"শুরু হচ্ছে")</f>
        <v>শুরু হচ্ছে</v>
      </c>
      <c r="O577" s="4" t="str">
        <f>IFERROR(__xludf.DUMMYFUNCTION("GOOGLETRANSLATE(B577,""en"",""pt"")"),"Começando")</f>
        <v>Começando</v>
      </c>
    </row>
    <row r="578">
      <c r="A578" s="88" t="s">
        <v>1366</v>
      </c>
      <c r="B578" s="91" t="s">
        <v>1367</v>
      </c>
      <c r="C578" s="64" t="str">
        <f>IFERROR(__xludf.DUMMYFUNCTION("GOOGLETRANSLATE(B578,""en"",""hi"")"),"आउट स्टेशन राइड")</f>
        <v>आउट स्टेशन राइड</v>
      </c>
      <c r="D578" s="65" t="str">
        <f>IFERROR(__xludf.DUMMYFUNCTION("GOOGLETRANSLATE(B578,""en"",""ar"")"),"رحلة خارج المحطة")</f>
        <v>رحلة خارج المحطة</v>
      </c>
      <c r="E578" s="65" t="str">
        <f>IFERROR(__xludf.DUMMYFUNCTION("GOOGLETRANSLATE(B578,""en"",""fr"")"),"Balade en dehors de la gare")</f>
        <v>Balade en dehors de la gare</v>
      </c>
      <c r="F578" s="65" t="str">
        <f>IFERROR(__xludf.DUMMYFUNCTION("GOOGLETRANSLATE(B578,""en"",""tr"")"),"İstasyon Dışı Yolculuk")</f>
        <v>İstasyon Dışı Yolculuk</v>
      </c>
      <c r="G578" s="65" t="str">
        <f>IFERROR(__xludf.DUMMYFUNCTION("GOOGLETRANSLATE(B578,""en"",""ru"")"),"Поездка на станцию Out Station")</f>
        <v>Поездка на станцию Out Station</v>
      </c>
      <c r="H578" s="65" t="str">
        <f>IFERROR(__xludf.DUMMYFUNCTION("GOOGLETRANSLATE(B578,""en"",""it"")"),"Corsa fuori stazione")</f>
        <v>Corsa fuori stazione</v>
      </c>
      <c r="I578" s="65" t="str">
        <f>IFERROR(__xludf.DUMMYFUNCTION("GOOGLETRANSLATE(B578,""en"",""de"")"),"Fahrt außerhalb der Station")</f>
        <v>Fahrt außerhalb der Station</v>
      </c>
      <c r="J578" s="65" t="str">
        <f>IFERROR(__xludf.DUMMYFUNCTION("GOOGLETRANSLATE(B578,""en"",""ko"")"),"아웃 스테이션 라이드")</f>
        <v>아웃 스테이션 라이드</v>
      </c>
      <c r="K578" s="65" t="str">
        <f>IFERROR(__xludf.DUMMYFUNCTION("GOOGLETRANSLATE(B578,""en"",""zh"")"),"出站乘车")</f>
        <v>出站乘车</v>
      </c>
      <c r="L578" s="65" t="str">
        <f>IFERROR(__xludf.DUMMYFUNCTION("GOOGLETRANSLATE(B578,""en"",""es"")"),"Viaje fuera de la estación")</f>
        <v>Viaje fuera de la estación</v>
      </c>
      <c r="M578" s="64" t="str">
        <f>IFERROR(__xludf.DUMMYFUNCTION("GOOGLETRANSLATE(B578,""en"",""iw"")"),"Out Station Ride")</f>
        <v>Out Station Ride</v>
      </c>
      <c r="N578" s="65" t="str">
        <f>IFERROR(__xludf.DUMMYFUNCTION("GOOGLETRANSLATE(B578,""en"",""bn"")"),"আউট স্টেশন রাইড")</f>
        <v>আউট স্টেশন রাইড</v>
      </c>
      <c r="O578" s="4" t="str">
        <f>IFERROR(__xludf.DUMMYFUNCTION("GOOGLETRANSLATE(B578,""en"",""pt"")"),"Passeio Fora da Estação")</f>
        <v>Passeio Fora da Estação</v>
      </c>
    </row>
    <row r="579">
      <c r="A579" s="88" t="s">
        <v>1368</v>
      </c>
      <c r="B579" s="91" t="s">
        <v>1369</v>
      </c>
      <c r="C579" s="64" t="str">
        <f>IFERROR(__xludf.DUMMYFUNCTION("GOOGLETRANSLATE(B579,""en"",""hi"")"),"वाहन की जानकारी")</f>
        <v>वाहन की जानकारी</v>
      </c>
      <c r="D579" s="65" t="str">
        <f>IFERROR(__xludf.DUMMYFUNCTION("GOOGLETRANSLATE(B579,""en"",""ar"")"),"معلومات السيارة")</f>
        <v>معلومات السيارة</v>
      </c>
      <c r="E579" s="65" t="str">
        <f>IFERROR(__xludf.DUMMYFUNCTION("GOOGLETRANSLATE(B579,""en"",""fr"")"),"Informations sur le véhicule")</f>
        <v>Informations sur le véhicule</v>
      </c>
      <c r="F579" s="65" t="str">
        <f>IFERROR(__xludf.DUMMYFUNCTION("GOOGLETRANSLATE(B579,""en"",""tr"")"),"Araç Bilgileri")</f>
        <v>Araç Bilgileri</v>
      </c>
      <c r="G579" s="65" t="str">
        <f>IFERROR(__xludf.DUMMYFUNCTION("GOOGLETRANSLATE(B579,""en"",""ru"")"),"Информация о транспортном средстве")</f>
        <v>Информация о транспортном средстве</v>
      </c>
      <c r="H579" s="65" t="str">
        <f>IFERROR(__xludf.DUMMYFUNCTION("GOOGLETRANSLATE(B579,""en"",""it"")"),"Informazioni sul veicolo")</f>
        <v>Informazioni sul veicolo</v>
      </c>
      <c r="I579" s="65" t="str">
        <f>IFERROR(__xludf.DUMMYFUNCTION("GOOGLETRANSLATE(B579,""en"",""de"")"),"Fahrzeuginformationen")</f>
        <v>Fahrzeuginformationen</v>
      </c>
      <c r="J579" s="65" t="str">
        <f>IFERROR(__xludf.DUMMYFUNCTION("GOOGLETRANSLATE(B579,""en"",""ko"")"),"차량 정보")</f>
        <v>차량 정보</v>
      </c>
      <c r="K579" s="65" t="str">
        <f>IFERROR(__xludf.DUMMYFUNCTION("GOOGLETRANSLATE(B579,""en"",""zh"")"),"车辆信息")</f>
        <v>车辆信息</v>
      </c>
      <c r="L579" s="65" t="str">
        <f>IFERROR(__xludf.DUMMYFUNCTION("GOOGLETRANSLATE(B579,""en"",""es"")"),"Información del vehículo")</f>
        <v>Información del vehículo</v>
      </c>
      <c r="M579" s="64" t="str">
        <f>IFERROR(__xludf.DUMMYFUNCTION("GOOGLETRANSLATE(B579,""en"",""iw"")"),"מידע על רכב")</f>
        <v>מידע על רכב</v>
      </c>
      <c r="N579" s="65" t="str">
        <f>IFERROR(__xludf.DUMMYFUNCTION("GOOGLETRANSLATE(B579,""en"",""bn"")"),"যানবাহন তথ্য")</f>
        <v>যানবাহন তথ্য</v>
      </c>
      <c r="O579" s="4" t="str">
        <f>IFERROR(__xludf.DUMMYFUNCTION("GOOGLETRANSLATE(B579,""en"",""pt"")"),"Informações do veículo")</f>
        <v>Informações do veículo</v>
      </c>
    </row>
    <row r="580">
      <c r="A580" s="88" t="s">
        <v>1370</v>
      </c>
      <c r="B580" s="91" t="s">
        <v>1371</v>
      </c>
      <c r="C580" s="64" t="str">
        <f>IFERROR(__xludf.DUMMYFUNCTION("GOOGLETRANSLATE(B580,""en"",""hi"")"),"चलती सवारी पर")</f>
        <v>चलती सवारी पर</v>
      </c>
      <c r="D580" s="65" t="str">
        <f>IFERROR(__xludf.DUMMYFUNCTION("GOOGLETRANSLATE(B580,""en"",""ar"")"),"رحلات مستمرة")</f>
        <v>رحلات مستمرة</v>
      </c>
      <c r="E580" s="65" t="str">
        <f>IFERROR(__xludf.DUMMYFUNCTION("GOOGLETRANSLATE(B580,""en"",""fr"")"),"Promenades en cours")</f>
        <v>Promenades en cours</v>
      </c>
      <c r="F580" s="65" t="str">
        <f>IFERROR(__xludf.DUMMYFUNCTION("GOOGLETRANSLATE(B580,""en"",""tr"")"),"Devam Eden Sürüşler")</f>
        <v>Devam Eden Sürüşler</v>
      </c>
      <c r="G580" s="65" t="str">
        <f>IFERROR(__xludf.DUMMYFUNCTION("GOOGLETRANSLATE(B580,""en"",""ru"")"),"На аттракционах")</f>
        <v>На аттракционах</v>
      </c>
      <c r="H580" s="65" t="str">
        <f>IFERROR(__xludf.DUMMYFUNCTION("GOOGLETRANSLATE(B580,""en"",""it"")"),"Gite in corso")</f>
        <v>Gite in corso</v>
      </c>
      <c r="I580" s="65" t="str">
        <f>IFERROR(__xludf.DUMMYFUNCTION("GOOGLETRANSLATE(B580,""en"",""de"")"),"Laufende Fahrten")</f>
        <v>Laufende Fahrten</v>
      </c>
      <c r="J580" s="65" t="str">
        <f>IFERROR(__xludf.DUMMYFUNCTION("GOOGLETRANSLATE(B580,""en"",""ko"")"),"진행 중인 라이드")</f>
        <v>진행 중인 라이드</v>
      </c>
      <c r="K580" s="65" t="str">
        <f>IFERROR(__xludf.DUMMYFUNCTION("GOOGLETRANSLATE(B580,""en"",""zh"")"),"正在进行的骑行")</f>
        <v>正在进行的骑行</v>
      </c>
      <c r="L580" s="65" t="str">
        <f>IFERROR(__xludf.DUMMYFUNCTION("GOOGLETRANSLATE(B580,""en"",""es"")"),"Paseos en marcha")</f>
        <v>Paseos en marcha</v>
      </c>
      <c r="M580" s="64" t="str">
        <f>IFERROR(__xludf.DUMMYFUNCTION("GOOGLETRANSLATE(B580,""en"",""iw"")"),"ברכיבה יוצאת")</f>
        <v>ברכיבה יוצאת</v>
      </c>
      <c r="N580" s="65" t="str">
        <f>IFERROR(__xludf.DUMMYFUNCTION("GOOGLETRANSLATE(B580,""en"",""bn"")"),"অন গোয়িং রাইডস")</f>
        <v>অন গোয়িং রাইডস</v>
      </c>
      <c r="O580" s="4" t="str">
        <f>IFERROR(__xludf.DUMMYFUNCTION("GOOGLETRANSLATE(B580,""en"",""pt"")"),"Passeios em andamento")</f>
        <v>Passeios em andamento</v>
      </c>
    </row>
    <row r="581">
      <c r="A581" s="88" t="s">
        <v>1372</v>
      </c>
      <c r="B581" s="91" t="s">
        <v>1373</v>
      </c>
      <c r="C581" s="64" t="str">
        <f>IFERROR(__xludf.DUMMYFUNCTION("GOOGLETRANSLATE(B581,""en"",""hi"")"),"सवारी देखें")</f>
        <v>सवारी देखें</v>
      </c>
      <c r="D581" s="65" t="str">
        <f>IFERROR(__xludf.DUMMYFUNCTION("GOOGLETRANSLATE(B581,""en"",""ar"")"),"عرض الرحلات")</f>
        <v>عرض الرحلات</v>
      </c>
      <c r="E581" s="65" t="str">
        <f>IFERROR(__xludf.DUMMYFUNCTION("GOOGLETRANSLATE(B581,""en"",""fr"")"),"Voir les manèges")</f>
        <v>Voir les manèges</v>
      </c>
      <c r="F581" s="65" t="str">
        <f>IFERROR(__xludf.DUMMYFUNCTION("GOOGLETRANSLATE(B581,""en"",""tr"")"),"Gezileri Görüntüle")</f>
        <v>Gezileri Görüntüle</v>
      </c>
      <c r="G581" s="65" t="str">
        <f>IFERROR(__xludf.DUMMYFUNCTION("GOOGLETRANSLATE(B581,""en"",""ru"")"),"Посмотреть поездки")</f>
        <v>Посмотреть поездки</v>
      </c>
      <c r="H581" s="65" t="str">
        <f>IFERROR(__xludf.DUMMYFUNCTION("GOOGLETRANSLATE(B581,""en"",""it"")"),"Visualizza le corse")</f>
        <v>Visualizza le corse</v>
      </c>
      <c r="I581" s="65" t="str">
        <f>IFERROR(__xludf.DUMMYFUNCTION("GOOGLETRANSLATE(B581,""en"",""de"")"),"Fahrten ansehen")</f>
        <v>Fahrten ansehen</v>
      </c>
      <c r="J581" s="65" t="str">
        <f>IFERROR(__xludf.DUMMYFUNCTION("GOOGLETRANSLATE(B581,""en"",""ko"")"),"라이드 보기")</f>
        <v>라이드 보기</v>
      </c>
      <c r="K581" s="65" t="str">
        <f>IFERROR(__xludf.DUMMYFUNCTION("GOOGLETRANSLATE(B581,""en"",""zh"")"),"查看游乐设施")</f>
        <v>查看游乐设施</v>
      </c>
      <c r="L581" s="65" t="str">
        <f>IFERROR(__xludf.DUMMYFUNCTION("GOOGLETRANSLATE(B581,""en"",""es"")"),"Ver paseos")</f>
        <v>Ver paseos</v>
      </c>
      <c r="M581" s="64" t="str">
        <f>IFERROR(__xludf.DUMMYFUNCTION("GOOGLETRANSLATE(B581,""en"",""iw"")"),"צפה ברכיבות")</f>
        <v>צפה ברכיבות</v>
      </c>
      <c r="N581" s="65" t="str">
        <f>IFERROR(__xludf.DUMMYFUNCTION("GOOGLETRANSLATE(B581,""en"",""bn"")"),"রাইড দেখুন")</f>
        <v>রাইড দেখুন</v>
      </c>
      <c r="O581" s="4" t="str">
        <f>IFERROR(__xludf.DUMMYFUNCTION("GOOGLETRANSLATE(B581,""en"",""pt"")"),"Ver passeios")</f>
        <v>Ver passeios</v>
      </c>
    </row>
    <row r="582">
      <c r="A582" s="88" t="s">
        <v>1374</v>
      </c>
      <c r="B582" s="91" t="s">
        <v>1375</v>
      </c>
      <c r="C582" s="64" t="str">
        <f>IFERROR(__xludf.DUMMYFUNCTION("GOOGLETRANSLATE(B582,""en"",""hi"")"),"अभी शेड्यूल करें")</f>
        <v>अभी शेड्यूल करें</v>
      </c>
      <c r="D582" s="65" t="str">
        <f>IFERROR(__xludf.DUMMYFUNCTION("GOOGLETRANSLATE(B582,""en"",""ar"")"),"جدولة الآن")</f>
        <v>جدولة الآن</v>
      </c>
      <c r="E582" s="65" t="str">
        <f>IFERROR(__xludf.DUMMYFUNCTION("GOOGLETRANSLATE(B582,""en"",""fr"")"),"Planifiez maintenant")</f>
        <v>Planifiez maintenant</v>
      </c>
      <c r="F582" s="65" t="str">
        <f>IFERROR(__xludf.DUMMYFUNCTION("GOOGLETRANSLATE(B582,""en"",""tr"")"),"Şimdi Planlayın")</f>
        <v>Şimdi Planlayın</v>
      </c>
      <c r="G582" s="65" t="str">
        <f>IFERROR(__xludf.DUMMYFUNCTION("GOOGLETRANSLATE(B582,""en"",""ru"")"),"Запланируйте сейчас")</f>
        <v>Запланируйте сейчас</v>
      </c>
      <c r="H582" s="65" t="str">
        <f>IFERROR(__xludf.DUMMYFUNCTION("GOOGLETRANSLATE(B582,""en"",""it"")"),"Prenota ora")</f>
        <v>Prenota ora</v>
      </c>
      <c r="I582" s="65" t="str">
        <f>IFERROR(__xludf.DUMMYFUNCTION("GOOGLETRANSLATE(B582,""en"",""de"")"),"Jetzt planen")</f>
        <v>Jetzt planen</v>
      </c>
      <c r="J582" s="65" t="str">
        <f>IFERROR(__xludf.DUMMYFUNCTION("GOOGLETRANSLATE(B582,""en"",""ko"")"),"지금 예약하기")</f>
        <v>지금 예약하기</v>
      </c>
      <c r="K582" s="65" t="str">
        <f>IFERROR(__xludf.DUMMYFUNCTION("GOOGLETRANSLATE(B582,""en"",""zh"")"),"立即安排")</f>
        <v>立即安排</v>
      </c>
      <c r="L582" s="65" t="str">
        <f>IFERROR(__xludf.DUMMYFUNCTION("GOOGLETRANSLATE(B582,""en"",""es"")"),"Programe ahora")</f>
        <v>Programe ahora</v>
      </c>
      <c r="M582" s="64" t="str">
        <f>IFERROR(__xludf.DUMMYFUNCTION("GOOGLETRANSLATE(B582,""en"",""iw"")"),"תזמן עכשיו")</f>
        <v>תזמן עכשיו</v>
      </c>
      <c r="N582" s="65" t="str">
        <f>IFERROR(__xludf.DUMMYFUNCTION("GOOGLETRANSLATE(B582,""en"",""bn"")"),"এখন সময়সূচী")</f>
        <v>এখন সময়সূচী</v>
      </c>
      <c r="O582" s="4" t="str">
        <f>IFERROR(__xludf.DUMMYFUNCTION("GOOGLETRANSLATE(B582,""en"",""pt"")"),"Agende agora")</f>
        <v>Agende agora</v>
      </c>
    </row>
    <row r="583">
      <c r="A583" s="88" t="s">
        <v>1376</v>
      </c>
      <c r="B583" s="91" t="s">
        <v>1377</v>
      </c>
      <c r="C583" s="64" t="str">
        <f>IFERROR(__xludf.DUMMYFUNCTION("GOOGLETRANSLATE(B583,""en"",""hi"")"),"क्या आप कृपया अन्य ऐप्स पर दिखाई देने के लिए ओवरले अनुमति प्रदान कर सकते हैं?")</f>
        <v>क्या आप कृपया अन्य ऐप्स पर दिखाई देने के लिए ओवरले अनुमति प्रदान कर सकते हैं?</v>
      </c>
      <c r="D583" s="65" t="str">
        <f>IFERROR(__xludf.DUMMYFUNCTION("GOOGLETRANSLATE(B583,""en"",""ar"")"),"هل يمكنك من فضلك توفير إذن التراكب للظهور على التطبيقات الأخرى")</f>
        <v>هل يمكنك من فضلك توفير إذن التراكب للظهور على التطبيقات الأخرى</v>
      </c>
      <c r="E583" s="65" t="str">
        <f>IFERROR(__xludf.DUMMYFUNCTION("GOOGLETRANSLATE(B583,""en"",""fr"")"),"Pourriez-vous s'il vous plaît fournir une autorisation de superposition pour apparaître sur les autres applications")</f>
        <v>Pourriez-vous s'il vous plaît fournir une autorisation de superposition pour apparaître sur les autres applications</v>
      </c>
      <c r="F583" s="65" t="str">
        <f>IFERROR(__xludf.DUMMYFUNCTION("GOOGLETRANSLATE(B583,""en"",""tr"")"),"Lütfen Diğer Uygulamalarda Görünmek İçin Kaplama İzni Verebilir misiniz?")</f>
        <v>Lütfen Diğer Uygulamalarda Görünmek İçin Kaplama İzni Verebilir misiniz?</v>
      </c>
      <c r="G583" s="65" t="str">
        <f>IFERROR(__xludf.DUMMYFUNCTION("GOOGLETRANSLATE(B583,""en"",""ru"")"),"Не могли бы вы предоставить разрешение на отображение наложения в других приложениях?")</f>
        <v>Не могли бы вы предоставить разрешение на отображение наложения в других приложениях?</v>
      </c>
      <c r="H583" s="65" t="str">
        <f>IFERROR(__xludf.DUMMYFUNCTION("GOOGLETRANSLATE(B583,""en"",""it"")"),"Potresti fornire l'autorizzazione di sovrapposizione per la visualizzazione sulle altre app?")</f>
        <v>Potresti fornire l'autorizzazione di sovrapposizione per la visualizzazione sulle altre app?</v>
      </c>
      <c r="I583" s="65" t="str">
        <f>IFERROR(__xludf.DUMMYFUNCTION("GOOGLETRANSLATE(B583,""en"",""de"")"),"Könnten Sie bitte die Overlay-Berechtigung für die Anzeige in den anderen Apps erteilen?")</f>
        <v>Könnten Sie bitte die Overlay-Berechtigung für die Anzeige in den anderen Apps erteilen?</v>
      </c>
      <c r="J583" s="65" t="str">
        <f>IFERROR(__xludf.DUMMYFUNCTION("GOOGLETRANSLATE(B583,""en"",""ko"")"),"다른 앱에 표시되도록 오버레이 권한을 제공해 주시겠습니까?")</f>
        <v>다른 앱에 표시되도록 오버레이 권한을 제공해 주시겠습니까?</v>
      </c>
      <c r="K583" s="65" t="str">
        <f>IFERROR(__xludf.DUMMYFUNCTION("GOOGLETRANSLATE(B583,""en"",""zh"")"),"您能否提供在其他应用程序上显示的覆盖许可")</f>
        <v>您能否提供在其他应用程序上显示的覆盖许可</v>
      </c>
      <c r="L583" s="65" t="str">
        <f>IFERROR(__xludf.DUMMYFUNCTION("GOOGLETRANSLATE(B583,""en"",""es"")"),"¿Podrías proporcionarme permiso de superposición para que aparezca en otras aplicaciones?")</f>
        <v>¿Podrías proporcionarme permiso de superposición para que aparezca en otras aplicaciones?</v>
      </c>
      <c r="M583" s="64" t="str">
        <f>IFERROR(__xludf.DUMMYFUNCTION("GOOGLETRANSLATE(B583,""en"",""iw"")"),"האם תוכל בבקשה לספק הרשאת שכבת-על עבור Apperar באפליקציות האחרות")</f>
        <v>האם תוכל בבקשה לספק הרשאת שכבת-על עבור Apperar באפליקציות האחרות</v>
      </c>
      <c r="N583" s="65" t="str">
        <f>IFERROR(__xludf.DUMMYFUNCTION("GOOGLETRANSLATE(B583,""en"",""bn"")"),"আপনি কি অনুগ্রহ করে অন্যান্য অ্যাপে অ্যাপারারের জন্য ওভারলে পারমিসন প্রদান করতে পারেন")</f>
        <v>আপনি কি অনুগ্রহ করে অন্যান্য অ্যাপে অ্যাপারারের জন্য ওভারলে পারমিসন প্রদান করতে পারেন</v>
      </c>
      <c r="O583" s="4" t="str">
        <f>IFERROR(__xludf.DUMMYFUNCTION("GOOGLETRANSLATE(B583,""en"",""pt"")"),"Você poderia fornecer permissão de sobreposição para aparecer em outros aplicativos?")</f>
        <v>Você poderia fornecer permissão de sobreposição para aparecer em outros aplicativos?</v>
      </c>
    </row>
    <row r="584">
      <c r="A584" s="88" t="s">
        <v>1378</v>
      </c>
      <c r="B584" s="91" t="s">
        <v>1379</v>
      </c>
      <c r="C584" s="64" t="str">
        <f>IFERROR(__xludf.DUMMYFUNCTION("GOOGLETRANSLATE(B584,""en"",""hi"")"),"व्यक्तिगत जानकारी")</f>
        <v>व्यक्तिगत जानकारी</v>
      </c>
      <c r="D584" s="65" t="str">
        <f>IFERROR(__xludf.DUMMYFUNCTION("GOOGLETRANSLATE(B584,""en"",""ar"")"),"المعلومات الشخصية")</f>
        <v>المعلومات الشخصية</v>
      </c>
      <c r="E584" s="65" t="str">
        <f>IFERROR(__xludf.DUMMYFUNCTION("GOOGLETRANSLATE(B584,""en"",""fr"")"),"Informations personnelles")</f>
        <v>Informations personnelles</v>
      </c>
      <c r="F584" s="65" t="str">
        <f>IFERROR(__xludf.DUMMYFUNCTION("GOOGLETRANSLATE(B584,""en"",""tr"")"),"Kişisel Bilgiler")</f>
        <v>Kişisel Bilgiler</v>
      </c>
      <c r="G584" s="65" t="str">
        <f>IFERROR(__xludf.DUMMYFUNCTION("GOOGLETRANSLATE(B584,""en"",""ru"")"),"Личная информация")</f>
        <v>Личная информация</v>
      </c>
      <c r="H584" s="65" t="str">
        <f>IFERROR(__xludf.DUMMYFUNCTION("GOOGLETRANSLATE(B584,""en"",""it"")"),"Informazioni personali")</f>
        <v>Informazioni personali</v>
      </c>
      <c r="I584" s="65" t="str">
        <f>IFERROR(__xludf.DUMMYFUNCTION("GOOGLETRANSLATE(B584,""en"",""de"")"),"Persönliche Informationen")</f>
        <v>Persönliche Informationen</v>
      </c>
      <c r="J584" s="65" t="str">
        <f>IFERROR(__xludf.DUMMYFUNCTION("GOOGLETRANSLATE(B584,""en"",""ko"")"),"개인 정보")</f>
        <v>개인 정보</v>
      </c>
      <c r="K584" s="65" t="str">
        <f>IFERROR(__xludf.DUMMYFUNCTION("GOOGLETRANSLATE(B584,""en"",""zh"")"),"个人信息")</f>
        <v>个人信息</v>
      </c>
      <c r="L584" s="65" t="str">
        <f>IFERROR(__xludf.DUMMYFUNCTION("GOOGLETRANSLATE(B584,""en"",""es"")"),"Información personal")</f>
        <v>Información personal</v>
      </c>
      <c r="M584" s="64" t="str">
        <f>IFERROR(__xludf.DUMMYFUNCTION("GOOGLETRANSLATE(B584,""en"",""iw"")"),"מידע אישי")</f>
        <v>מידע אישי</v>
      </c>
      <c r="N584" s="65" t="str">
        <f>IFERROR(__xludf.DUMMYFUNCTION("GOOGLETRANSLATE(B584,""en"",""bn"")"),"ব্যক্তিগত তথ্য")</f>
        <v>ব্যক্তিগত তথ্য</v>
      </c>
      <c r="O584" s="4" t="str">
        <f>IFERROR(__xludf.DUMMYFUNCTION("GOOGLETRANSLATE(B584,""en"",""pt"")"),"Informações pessoais")</f>
        <v>Informações pessoais</v>
      </c>
    </row>
    <row r="585">
      <c r="A585" s="88" t="s">
        <v>1380</v>
      </c>
      <c r="B585" s="91" t="s">
        <v>1381</v>
      </c>
      <c r="C585" s="64" t="str">
        <f>IFERROR(__xludf.DUMMYFUNCTION("GOOGLETRANSLATE(B585,""en"",""hi"")"),"अनुमति का अनुरोध करें")</f>
        <v>अनुमति का अनुरोध करें</v>
      </c>
      <c r="D585" s="65" t="str">
        <f>IFERROR(__xludf.DUMMYFUNCTION("GOOGLETRANSLATE(B585,""en"",""ar"")"),"طلب الإذن")</f>
        <v>طلب الإذن</v>
      </c>
      <c r="E585" s="65" t="str">
        <f>IFERROR(__xludf.DUMMYFUNCTION("GOOGLETRANSLATE(B585,""en"",""fr"")"),"Demander une autorisation")</f>
        <v>Demander une autorisation</v>
      </c>
      <c r="F585" s="65" t="str">
        <f>IFERROR(__xludf.DUMMYFUNCTION("GOOGLETRANSLATE(B585,""en"",""tr"")"),"İzin İsteği")</f>
        <v>İzin İsteği</v>
      </c>
      <c r="G585" s="65" t="str">
        <f>IFERROR(__xludf.DUMMYFUNCTION("GOOGLETRANSLATE(B585,""en"",""ru"")"),"Запросить разрешение")</f>
        <v>Запросить разрешение</v>
      </c>
      <c r="H585" s="65" t="str">
        <f>IFERROR(__xludf.DUMMYFUNCTION("GOOGLETRANSLATE(B585,""en"",""it"")"),"Richiedi autorizzazione")</f>
        <v>Richiedi autorizzazione</v>
      </c>
      <c r="I585" s="65" t="str">
        <f>IFERROR(__xludf.DUMMYFUNCTION("GOOGLETRANSLATE(B585,""en"",""de"")"),"Erlaubnis anfordern")</f>
        <v>Erlaubnis anfordern</v>
      </c>
      <c r="J585" s="65" t="str">
        <f>IFERROR(__xludf.DUMMYFUNCTION("GOOGLETRANSLATE(B585,""en"",""ko"")"),"허가 요청")</f>
        <v>허가 요청</v>
      </c>
      <c r="K585" s="65" t="str">
        <f>IFERROR(__xludf.DUMMYFUNCTION("GOOGLETRANSLATE(B585,""en"",""zh"")"),"请求许可")</f>
        <v>请求许可</v>
      </c>
      <c r="L585" s="65" t="str">
        <f>IFERROR(__xludf.DUMMYFUNCTION("GOOGLETRANSLATE(B585,""en"",""es"")"),"Solicitar permiso")</f>
        <v>Solicitar permiso</v>
      </c>
      <c r="M585" s="64" t="str">
        <f>IFERROR(__xludf.DUMMYFUNCTION("GOOGLETRANSLATE(B585,""en"",""iw"")"),"בקש רשות")</f>
        <v>בקש רשות</v>
      </c>
      <c r="N585" s="65" t="str">
        <f>IFERROR(__xludf.DUMMYFUNCTION("GOOGLETRANSLATE(B585,""en"",""bn"")"),"অনুমতির অনুরোধ করুন")</f>
        <v>অনুমতির অনুরোধ করুন</v>
      </c>
      <c r="O585" s="4" t="str">
        <f>IFERROR(__xludf.DUMMYFUNCTION("GOOGLETRANSLATE(B585,""en"",""pt"")"),"Solicitar permissão")</f>
        <v>Solicitar permissão</v>
      </c>
    </row>
    <row r="586">
      <c r="A586" s="88" t="s">
        <v>1382</v>
      </c>
      <c r="B586" s="91" t="s">
        <v>1383</v>
      </c>
      <c r="C586" s="64" t="str">
        <f>IFERROR(__xludf.DUMMYFUNCTION("GOOGLETRANSLATE(B586,""en"",""hi"")"),"आगामी सवारी")</f>
        <v>आगामी सवारी</v>
      </c>
      <c r="D586" s="65" t="str">
        <f>IFERROR(__xludf.DUMMYFUNCTION("GOOGLETRANSLATE(B586,""en"",""ar"")"),"الرحلات القادمة")</f>
        <v>الرحلات القادمة</v>
      </c>
      <c r="E586" s="65" t="str">
        <f>IFERROR(__xludf.DUMMYFUNCTION("GOOGLETRANSLATE(B586,""en"",""fr"")"),"Prochaines balades")</f>
        <v>Prochaines balades</v>
      </c>
      <c r="F586" s="65" t="str">
        <f>IFERROR(__xludf.DUMMYFUNCTION("GOOGLETRANSLATE(B586,""en"",""tr"")"),"Yaklaşan Sürüşler")</f>
        <v>Yaklaşan Sürüşler</v>
      </c>
      <c r="G586" s="65" t="str">
        <f>IFERROR(__xludf.DUMMYFUNCTION("GOOGLETRANSLATE(B586,""en"",""ru"")"),"Предстоящие поездки")</f>
        <v>Предстоящие поездки</v>
      </c>
      <c r="H586" s="65" t="str">
        <f>IFERROR(__xludf.DUMMYFUNCTION("GOOGLETRANSLATE(B586,""en"",""it"")"),"Prossime corse")</f>
        <v>Prossime corse</v>
      </c>
      <c r="I586" s="65" t="str">
        <f>IFERROR(__xludf.DUMMYFUNCTION("GOOGLETRANSLATE(B586,""en"",""de"")"),"Kommende Fahrten")</f>
        <v>Kommende Fahrten</v>
      </c>
      <c r="J586" s="65" t="str">
        <f>IFERROR(__xludf.DUMMYFUNCTION("GOOGLETRANSLATE(B586,""en"",""ko"")"),"다가오는 라이드")</f>
        <v>다가오는 라이드</v>
      </c>
      <c r="K586" s="65" t="str">
        <f>IFERROR(__xludf.DUMMYFUNCTION("GOOGLETRANSLATE(B586,""en"",""zh"")"),"即将推出的行程")</f>
        <v>即将推出的行程</v>
      </c>
      <c r="L586" s="65" t="str">
        <f>IFERROR(__xludf.DUMMYFUNCTION("GOOGLETRANSLATE(B586,""en"",""es"")"),"Próximos viajes")</f>
        <v>Próximos viajes</v>
      </c>
      <c r="M586" s="64" t="str">
        <f>IFERROR(__xludf.DUMMYFUNCTION("GOOGLETRANSLATE(B586,""en"",""iw"")"),"נסיעות הקרובות")</f>
        <v>נסיעות הקרובות</v>
      </c>
      <c r="N586" s="65" t="str">
        <f>IFERROR(__xludf.DUMMYFUNCTION("GOOGLETRANSLATE(B586,""en"",""bn"")"),"আসন্ন রাইডস")</f>
        <v>আসন্ন রাইডস</v>
      </c>
      <c r="O586" s="4" t="str">
        <f>IFERROR(__xludf.DUMMYFUNCTION("GOOGLETRANSLATE(B586,""en"",""pt"")"),"Próximos passeios")</f>
        <v>Próximos passeios</v>
      </c>
    </row>
    <row r="587">
      <c r="A587" s="88" t="s">
        <v>1384</v>
      </c>
      <c r="B587" s="91" t="s">
        <v>1385</v>
      </c>
      <c r="C587" s="64" t="str">
        <f>IFERROR(__xludf.DUMMYFUNCTION("GOOGLETRANSLATE(B587,""en"",""hi"")"),"पूर्ण की गई सवारी")</f>
        <v>पूर्ण की गई सवारी</v>
      </c>
      <c r="D587" s="65" t="str">
        <f>IFERROR(__xludf.DUMMYFUNCTION("GOOGLETRANSLATE(B587,""en"",""ar"")"),"الرحلات المكتملة")</f>
        <v>الرحلات المكتملة</v>
      </c>
      <c r="E587" s="65" t="str">
        <f>IFERROR(__xludf.DUMMYFUNCTION("GOOGLETRANSLATE(B587,""en"",""fr"")"),"Manèges terminés")</f>
        <v>Manèges terminés</v>
      </c>
      <c r="F587" s="65" t="str">
        <f>IFERROR(__xludf.DUMMYFUNCTION("GOOGLETRANSLATE(B587,""en"",""tr"")"),"Tamamlanan Sürüşler")</f>
        <v>Tamamlanan Sürüşler</v>
      </c>
      <c r="G587" s="65" t="str">
        <f>IFERROR(__xludf.DUMMYFUNCTION("GOOGLETRANSLATE(B587,""en"",""ru"")"),"Завершенные поездки")</f>
        <v>Завершенные поездки</v>
      </c>
      <c r="H587" s="65" t="str">
        <f>IFERROR(__xludf.DUMMYFUNCTION("GOOGLETRANSLATE(B587,""en"",""it"")"),"Viaggi completati")</f>
        <v>Viaggi completati</v>
      </c>
      <c r="I587" s="65" t="str">
        <f>IFERROR(__xludf.DUMMYFUNCTION("GOOGLETRANSLATE(B587,""en"",""de"")"),"Abgeschlossene Fahrten")</f>
        <v>Abgeschlossene Fahrten</v>
      </c>
      <c r="J587" s="65" t="str">
        <f>IFERROR(__xludf.DUMMYFUNCTION("GOOGLETRANSLATE(B587,""en"",""ko"")"),"완료된 라이드")</f>
        <v>완료된 라이드</v>
      </c>
      <c r="K587" s="65" t="str">
        <f>IFERROR(__xludf.DUMMYFUNCTION("GOOGLETRANSLATE(B587,""en"",""zh"")"),"已完成的骑行")</f>
        <v>已完成的骑行</v>
      </c>
      <c r="L587" s="65" t="str">
        <f>IFERROR(__xludf.DUMMYFUNCTION("GOOGLETRANSLATE(B587,""en"",""es"")"),"Viajes completados")</f>
        <v>Viajes completados</v>
      </c>
      <c r="M587" s="64" t="str">
        <f>IFERROR(__xludf.DUMMYFUNCTION("GOOGLETRANSLATE(B587,""en"",""iw"")"),"רכיבות שהושלמו")</f>
        <v>רכיבות שהושלמו</v>
      </c>
      <c r="N587" s="65" t="str">
        <f>IFERROR(__xludf.DUMMYFUNCTION("GOOGLETRANSLATE(B587,""en"",""bn"")"),"সম্পূর্ণ রাইড")</f>
        <v>সম্পূর্ণ রাইড</v>
      </c>
      <c r="O587" s="4" t="str">
        <f>IFERROR(__xludf.DUMMYFUNCTION("GOOGLETRANSLATE(B587,""en"",""pt"")"),"Passeios concluídos")</f>
        <v>Passeios concluídos</v>
      </c>
    </row>
    <row r="588">
      <c r="A588" s="88" t="s">
        <v>1386</v>
      </c>
      <c r="B588" s="91" t="s">
        <v>1387</v>
      </c>
      <c r="C588" s="64" t="str">
        <f>IFERROR(__xludf.DUMMYFUNCTION("GOOGLETRANSLATE(B588,""en"",""hi"")"),"रद्द की गई सवारी")</f>
        <v>रद्द की गई सवारी</v>
      </c>
      <c r="D588" s="65" t="str">
        <f>IFERROR(__xludf.DUMMYFUNCTION("GOOGLETRANSLATE(B588,""en"",""ar"")"),"الرحلات الملغاة")</f>
        <v>الرحلات الملغاة</v>
      </c>
      <c r="E588" s="65" t="str">
        <f>IFERROR(__xludf.DUMMYFUNCTION("GOOGLETRANSLATE(B588,""en"",""fr"")"),"Trajets annulés")</f>
        <v>Trajets annulés</v>
      </c>
      <c r="F588" s="65" t="str">
        <f>IFERROR(__xludf.DUMMYFUNCTION("GOOGLETRANSLATE(B588,""en"",""tr"")"),"İptal Edilen Yolculuklar")</f>
        <v>İptal Edilen Yolculuklar</v>
      </c>
      <c r="G588" s="65" t="str">
        <f>IFERROR(__xludf.DUMMYFUNCTION("GOOGLETRANSLATE(B588,""en"",""ru"")"),"Отмененные поездки")</f>
        <v>Отмененные поездки</v>
      </c>
      <c r="H588" s="65" t="str">
        <f>IFERROR(__xludf.DUMMYFUNCTION("GOOGLETRANSLATE(B588,""en"",""it"")"),"Corse cancellate")</f>
        <v>Corse cancellate</v>
      </c>
      <c r="I588" s="65" t="str">
        <f>IFERROR(__xludf.DUMMYFUNCTION("GOOGLETRANSLATE(B588,""en"",""de"")"),"Abgesagte Fahrten")</f>
        <v>Abgesagte Fahrten</v>
      </c>
      <c r="J588" s="65" t="str">
        <f>IFERROR(__xludf.DUMMYFUNCTION("GOOGLETRANSLATE(B588,""en"",""ko"")"),"취소된 승차")</f>
        <v>취소된 승차</v>
      </c>
      <c r="K588" s="65" t="str">
        <f>IFERROR(__xludf.DUMMYFUNCTION("GOOGLETRANSLATE(B588,""en"",""zh"")"),"取消行程")</f>
        <v>取消行程</v>
      </c>
      <c r="L588" s="65" t="str">
        <f>IFERROR(__xludf.DUMMYFUNCTION("GOOGLETRANSLATE(B588,""en"",""es"")"),"Viajes cancelados")</f>
        <v>Viajes cancelados</v>
      </c>
      <c r="M588" s="64" t="str">
        <f>IFERROR(__xludf.DUMMYFUNCTION("GOOGLETRANSLATE(B588,""en"",""iw"")"),"נסיעות שבוטלו")</f>
        <v>נסיעות שבוטלו</v>
      </c>
      <c r="N588" s="65" t="str">
        <f>IFERROR(__xludf.DUMMYFUNCTION("GOOGLETRANSLATE(B588,""en"",""bn"")"),"রাইড বাতিল করা হয়েছে")</f>
        <v>রাইড বাতিল করা হয়েছে</v>
      </c>
      <c r="O588" s="4" t="str">
        <f>IFERROR(__xludf.DUMMYFUNCTION("GOOGLETRANSLATE(B588,""en"",""pt"")"),"Passeios cancelados")</f>
        <v>Passeios cancelados</v>
      </c>
    </row>
    <row r="589">
      <c r="A589" s="88" t="s">
        <v>1388</v>
      </c>
      <c r="B589" s="91" t="s">
        <v>1389</v>
      </c>
      <c r="C589" s="64" t="str">
        <f>IFERROR(__xludf.DUMMYFUNCTION("GOOGLETRANSLATE(B589,""en"",""hi"")"),"कोई पसंदीदा स्थान नहीं मिला")</f>
        <v>कोई पसंदीदा स्थान नहीं मिला</v>
      </c>
      <c r="D589" s="65" t="str">
        <f>IFERROR(__xludf.DUMMYFUNCTION("GOOGLETRANSLATE(B589,""en"",""ar"")"),"لم يتم العثور على الموقع المفضل")</f>
        <v>لم يتم العثور على الموقع المفضل</v>
      </c>
      <c r="E589" s="65" t="str">
        <f>IFERROR(__xludf.DUMMYFUNCTION("GOOGLETRANSLATE(B589,""en"",""fr"")"),"Aucun emplacement favori n'a été trouvé")</f>
        <v>Aucun emplacement favori n'a été trouvé</v>
      </c>
      <c r="F589" s="65" t="str">
        <f>IFERROR(__xludf.DUMMYFUNCTION("GOOGLETRANSLATE(B589,""en"",""tr"")"),"Favori konum bulunamadı")</f>
        <v>Favori konum bulunamadı</v>
      </c>
      <c r="G589" s="65" t="str">
        <f>IFERROR(__xludf.DUMMYFUNCTION("GOOGLETRANSLATE(B589,""en"",""ru"")"),"Любимое местоположение не найдено.")</f>
        <v>Любимое местоположение не найдено.</v>
      </c>
      <c r="H589" s="65" t="str">
        <f>IFERROR(__xludf.DUMMYFUNCTION("GOOGLETRANSLATE(B589,""en"",""it"")"),"Non è stata trovata alcuna posizione preferita")</f>
        <v>Non è stata trovata alcuna posizione preferita</v>
      </c>
      <c r="I589" s="65" t="str">
        <f>IFERROR(__xludf.DUMMYFUNCTION("GOOGLETRANSLATE(B589,""en"",""de"")"),"Es wurde kein Lieblingsort gefunden")</f>
        <v>Es wurde kein Lieblingsort gefunden</v>
      </c>
      <c r="J589" s="65" t="str">
        <f>IFERROR(__xludf.DUMMYFUNCTION("GOOGLETRANSLATE(B589,""en"",""ko"")"),"선호하는 위치가 발견되지 않았습니다.")</f>
        <v>선호하는 위치가 발견되지 않았습니다.</v>
      </c>
      <c r="K589" s="65" t="str">
        <f>IFERROR(__xludf.DUMMYFUNCTION("GOOGLETRANSLATE(B589,""en"",""zh"")"),"未找到收藏地点")</f>
        <v>未找到收藏地点</v>
      </c>
      <c r="L589" s="65" t="str">
        <f>IFERROR(__xludf.DUMMYFUNCTION("GOOGLETRANSLATE(B589,""en"",""es"")"),"No se ha encontrado ninguna ubicación favorita")</f>
        <v>No se ha encontrado ninguna ubicación favorita</v>
      </c>
      <c r="M589" s="64" t="str">
        <f>IFERROR(__xludf.DUMMYFUNCTION("GOOGLETRANSLATE(B589,""en"",""iw"")"),"לא נמצא מיקום מועדף")</f>
        <v>לא נמצא מיקום מועדף</v>
      </c>
      <c r="N589" s="65" t="str">
        <f>IFERROR(__xludf.DUMMYFUNCTION("GOOGLETRANSLATE(B589,""en"",""bn"")"),"কোন প্রিয় স্থান খুঁজে পাওয়া যায় নি")</f>
        <v>কোন প্রিয় স্থান খুঁজে পাওয়া যায় নি</v>
      </c>
      <c r="O589" s="4" t="str">
        <f>IFERROR(__xludf.DUMMYFUNCTION("GOOGLETRANSLATE(B589,""en"",""pt"")"),"Nenhum local favorito foi encontrado")</f>
        <v>Nenhum local favorito foi encontrado</v>
      </c>
    </row>
    <row r="590">
      <c r="A590" s="88" t="s">
        <v>1390</v>
      </c>
      <c r="B590" s="91" t="s">
        <v>1391</v>
      </c>
      <c r="C590" s="64" t="str">
        <f>IFERROR(__xludf.DUMMYFUNCTION("GOOGLETRANSLATE(B590,""en"",""hi"")"),"हाल ही में कोई लेनदेन नहीं...!")</f>
        <v>हाल ही में कोई लेनदेन नहीं...!</v>
      </c>
      <c r="D590" s="65" t="str">
        <f>IFERROR(__xludf.DUMMYFUNCTION("GOOGLETRANSLATE(B590,""en"",""ar"")"),"لا توجد معاملات حديثة...!")</f>
        <v>لا توجد معاملات حديثة...!</v>
      </c>
      <c r="E590" s="65" t="str">
        <f>IFERROR(__xludf.DUMMYFUNCTION("GOOGLETRANSLATE(B590,""en"",""fr"")"),"Aucune transaction récente...!")</f>
        <v>Aucune transaction récente...!</v>
      </c>
      <c r="F590" s="65" t="str">
        <f>IFERROR(__xludf.DUMMYFUNCTION("GOOGLETRANSLATE(B590,""en"",""tr"")"),"Son işlem yok...!")</f>
        <v>Son işlem yok...!</v>
      </c>
      <c r="G590" s="65" t="str">
        <f>IFERROR(__xludf.DUMMYFUNCTION("GOOGLETRANSLATE(B590,""en"",""ru"")"),"Нет недавних транзакций...!")</f>
        <v>Нет недавних транзакций...!</v>
      </c>
      <c r="H590" s="65" t="str">
        <f>IFERROR(__xludf.DUMMYFUNCTION("GOOGLETRANSLATE(B590,""en"",""it"")"),"Nessuna transazione recente...!")</f>
        <v>Nessuna transazione recente...!</v>
      </c>
      <c r="I590" s="65" t="str">
        <f>IFERROR(__xludf.DUMMYFUNCTION("GOOGLETRANSLATE(B590,""en"",""de"")"),"Keine aktuellen Transaktionen...!")</f>
        <v>Keine aktuellen Transaktionen...!</v>
      </c>
      <c r="J590" s="65" t="str">
        <f>IFERROR(__xludf.DUMMYFUNCTION("GOOGLETRANSLATE(B590,""en"",""ko"")"),"최근 거래 내역이 없습니다...!")</f>
        <v>최근 거래 내역이 없습니다...!</v>
      </c>
      <c r="K590" s="65" t="str">
        <f>IFERROR(__xludf.DUMMYFUNCTION("GOOGLETRANSLATE(B590,""en"",""zh"")"),"最近沒有交易...！")</f>
        <v>最近沒有交易...！</v>
      </c>
      <c r="L590" s="65" t="str">
        <f>IFERROR(__xludf.DUMMYFUNCTION("GOOGLETRANSLATE(B590,""en"",""es"")"),"¡No hay transacciones recientes...!")</f>
        <v>¡No hay transacciones recientes...!</v>
      </c>
      <c r="M590" s="64" t="str">
        <f>IFERROR(__xludf.DUMMYFUNCTION("GOOGLETRANSLATE(B590,""en"",""iw"")"),"אין עסקאות אחרונות...!")</f>
        <v>אין עסקאות אחרונות...!</v>
      </c>
      <c r="N590" s="65" t="str">
        <f>IFERROR(__xludf.DUMMYFUNCTION("GOOGLETRANSLATE(B590,""en"",""bn"")"),"কোনো সাম্প্রতিক লেনদেন নেই...!")</f>
        <v>কোনো সাম্প্রতিক লেনদেন নেই...!</v>
      </c>
      <c r="O590" s="4" t="str">
        <f>IFERROR(__xludf.DUMMYFUNCTION("GOOGLETRANSLATE(B590,""en"",""pt"")"),"Nenhuma transação recente...!")</f>
        <v>Nenhuma transação recente...!</v>
      </c>
    </row>
    <row r="591">
      <c r="A591" s="88" t="s">
        <v>1392</v>
      </c>
      <c r="B591" s="91" t="s">
        <v>1393</v>
      </c>
      <c r="C591" s="64" t="str">
        <f>IFERROR(__xludf.DUMMYFUNCTION("GOOGLETRANSLATE(B591,""en"",""hi"")"),"मानचित्र थीम")</f>
        <v>मानचित्र थीम</v>
      </c>
      <c r="D591" s="65" t="str">
        <f>IFERROR(__xludf.DUMMYFUNCTION("GOOGLETRANSLATE(B591,""en"",""ar"")"),"موضوع الخريطة")</f>
        <v>موضوع الخريطة</v>
      </c>
      <c r="E591" s="65" t="str">
        <f>IFERROR(__xludf.DUMMYFUNCTION("GOOGLETRANSLATE(B591,""en"",""fr"")"),"Thème de la carte")</f>
        <v>Thème de la carte</v>
      </c>
      <c r="F591" s="65" t="str">
        <f>IFERROR(__xludf.DUMMYFUNCTION("GOOGLETRANSLATE(B591,""en"",""tr"")"),"Harita Teması")</f>
        <v>Harita Teması</v>
      </c>
      <c r="G591" s="65" t="str">
        <f>IFERROR(__xludf.DUMMYFUNCTION("GOOGLETRANSLATE(B591,""en"",""ru"")"),"Тема карты")</f>
        <v>Тема карты</v>
      </c>
      <c r="H591" s="65" t="str">
        <f>IFERROR(__xludf.DUMMYFUNCTION("GOOGLETRANSLATE(B591,""en"",""it"")"),"Tema della mappa")</f>
        <v>Tema della mappa</v>
      </c>
      <c r="I591" s="65" t="str">
        <f>IFERROR(__xludf.DUMMYFUNCTION("GOOGLETRANSLATE(B591,""en"",""de"")"),"Kartenthema")</f>
        <v>Kartenthema</v>
      </c>
      <c r="J591" s="65" t="str">
        <f>IFERROR(__xludf.DUMMYFUNCTION("GOOGLETRANSLATE(B591,""en"",""ko"")"),"지도 테마")</f>
        <v>지도 테마</v>
      </c>
      <c r="K591" s="65" t="str">
        <f>IFERROR(__xludf.DUMMYFUNCTION("GOOGLETRANSLATE(B591,""en"",""zh"")"),"地图主题")</f>
        <v>地图主题</v>
      </c>
      <c r="L591" s="65" t="str">
        <f>IFERROR(__xludf.DUMMYFUNCTION("GOOGLETRANSLATE(B591,""en"",""es"")"),"Tema del mapa")</f>
        <v>Tema del mapa</v>
      </c>
      <c r="M591" s="64" t="str">
        <f>IFERROR(__xludf.DUMMYFUNCTION("GOOGLETRANSLATE(B591,""en"",""iw"")"),"נושא המפה")</f>
        <v>נושא המפה</v>
      </c>
      <c r="N591" s="65" t="str">
        <f>IFERROR(__xludf.DUMMYFUNCTION("GOOGLETRANSLATE(B591,""en"",""bn"")"),"মানচিত্র থিম")</f>
        <v>মানচিত্র থিম</v>
      </c>
      <c r="O591" s="4" t="str">
        <f>IFERROR(__xludf.DUMMYFUNCTION("GOOGLETRANSLATE(B591,""en"",""pt"")"),"Tema do mapa")</f>
        <v>Tema do mapa</v>
      </c>
    </row>
    <row r="592">
      <c r="A592" s="88" t="s">
        <v>1394</v>
      </c>
      <c r="B592" s="91" t="s">
        <v>1395</v>
      </c>
      <c r="C592" s="64" t="str">
        <f>IFERROR(__xludf.DUMMYFUNCTION("GOOGLETRANSLATE(B592,""en"",""hi"")"),"वॉलेट में पैसे जोड़ें")</f>
        <v>वॉलेट में पैसे जोड़ें</v>
      </c>
      <c r="D592" s="65" t="str">
        <f>IFERROR(__xludf.DUMMYFUNCTION("GOOGLETRANSLATE(B592,""en"",""ar"")"),"إضافة الأموال إلى المحفظة")</f>
        <v>إضافة الأموال إلى المحفظة</v>
      </c>
      <c r="E592" s="65" t="str">
        <f>IFERROR(__xludf.DUMMYFUNCTION("GOOGLETRANSLATE(B592,""en"",""fr"")"),"Ajouter de l'argent au portefeuille")</f>
        <v>Ajouter de l'argent au portefeuille</v>
      </c>
      <c r="F592" s="65" t="str">
        <f>IFERROR(__xludf.DUMMYFUNCTION("GOOGLETRANSLATE(B592,""en"",""tr"")"),"Cüzdana Para Ekle")</f>
        <v>Cüzdana Para Ekle</v>
      </c>
      <c r="G592" s="65" t="str">
        <f>IFERROR(__xludf.DUMMYFUNCTION("GOOGLETRANSLATE(B592,""en"",""ru"")"),"Добавить деньги в кошелек")</f>
        <v>Добавить деньги в кошелек</v>
      </c>
      <c r="H592" s="65" t="str">
        <f>IFERROR(__xludf.DUMMYFUNCTION("GOOGLETRANSLATE(B592,""en"",""it"")"),"Aggiungi denaro al portafoglio")</f>
        <v>Aggiungi denaro al portafoglio</v>
      </c>
      <c r="I592" s="65" t="str">
        <f>IFERROR(__xludf.DUMMYFUNCTION("GOOGLETRANSLATE(B592,""en"",""de"")"),"Geld zum Wallet hinzufügen")</f>
        <v>Geld zum Wallet hinzufügen</v>
      </c>
      <c r="J592" s="65" t="str">
        <f>IFERROR(__xludf.DUMMYFUNCTION("GOOGLETRANSLATE(B592,""en"",""ko"")"),"지갑에 돈 추가")</f>
        <v>지갑에 돈 추가</v>
      </c>
      <c r="K592" s="65" t="str">
        <f>IFERROR(__xludf.DUMMYFUNCTION("GOOGLETRANSLATE(B592,""en"",""zh"")"),"充值至钱包")</f>
        <v>充值至钱包</v>
      </c>
      <c r="L592" s="65" t="str">
        <f>IFERROR(__xludf.DUMMYFUNCTION("GOOGLETRANSLATE(B592,""en"",""es"")"),"Agregar dinero a la billetera")</f>
        <v>Agregar dinero a la billetera</v>
      </c>
      <c r="M592" s="64" t="str">
        <f>IFERROR(__xludf.DUMMYFUNCTION("GOOGLETRANSLATE(B592,""en"",""iw"")"),"הוסף כסף לארנק")</f>
        <v>הוסף כסף לארנק</v>
      </c>
      <c r="N592" s="65" t="str">
        <f>IFERROR(__xludf.DUMMYFUNCTION("GOOGLETRANSLATE(B592,""en"",""bn"")"),"ওয়ালেটে টাকা যোগ করুন")</f>
        <v>ওয়ালেটে টাকা যোগ করুন</v>
      </c>
      <c r="O592" s="4" t="str">
        <f>IFERROR(__xludf.DUMMYFUNCTION("GOOGLETRANSLATE(B592,""en"",""pt"")"),"Adicionar dinheiro à carteira")</f>
        <v>Adicionar dinheiro à carteira</v>
      </c>
    </row>
    <row r="593">
      <c r="A593" s="88" t="s">
        <v>1396</v>
      </c>
      <c r="B593" s="91" t="s">
        <v>1397</v>
      </c>
      <c r="C593" s="64" t="str">
        <f>IFERROR(__xludf.DUMMYFUNCTION("GOOGLETRANSLATE(B593,""en"",""hi"")"),"छोड़ने का रास्ता")</f>
        <v>छोड़ने का रास्ता</v>
      </c>
      <c r="D593" s="65" t="str">
        <f>IFERROR(__xludf.DUMMYFUNCTION("GOOGLETRANSLATE(B593,""en"",""ar"")"),"طريقة الاسقاط")</f>
        <v>طريقة الاسقاط</v>
      </c>
      <c r="E593" s="65" t="str">
        <f>IFERROR(__xludf.DUMMYFUNCTION("GOOGLETRANSLATE(B593,""en"",""fr"")"),"Chemin vers la chute")</f>
        <v>Chemin vers la chute</v>
      </c>
      <c r="F593" s="65" t="str">
        <f>IFERROR(__xludf.DUMMYFUNCTION("GOOGLETRANSLATE(B593,""en"",""tr"")"),"Düşme Yolu")</f>
        <v>Düşme Yolu</v>
      </c>
      <c r="G593" s="65" t="str">
        <f>IFERROR(__xludf.DUMMYFUNCTION("GOOGLETRANSLATE(B593,""en"",""ru"")"),"Способ падения")</f>
        <v>Способ падения</v>
      </c>
      <c r="H593" s="65" t="str">
        <f>IFERROR(__xludf.DUMMYFUNCTION("GOOGLETRANSLATE(B593,""en"",""it"")"),"Modo di cadere")</f>
        <v>Modo di cadere</v>
      </c>
      <c r="I593" s="65" t="str">
        <f>IFERROR(__xludf.DUMMYFUNCTION("GOOGLETRANSLATE(B593,""en"",""de"")"),"Weg zum Fallenlassen")</f>
        <v>Weg zum Fallenlassen</v>
      </c>
      <c r="J593" s="65" t="str">
        <f>IFERROR(__xludf.DUMMYFUNCTION("GOOGLETRANSLATE(B593,""en"",""ko"")"),"드롭하는 방법")</f>
        <v>드롭하는 방법</v>
      </c>
      <c r="K593" s="65" t="str">
        <f>IFERROR(__xludf.DUMMYFUNCTION("GOOGLETRANSLATE(B593,""en"",""zh"")"),"掉落方式")</f>
        <v>掉落方式</v>
      </c>
      <c r="L593" s="65" t="str">
        <f>IFERROR(__xludf.DUMMYFUNCTION("GOOGLETRANSLATE(B593,""en"",""es"")"),"Manera de dejar caer")</f>
        <v>Manera de dejar caer</v>
      </c>
      <c r="M593" s="64" t="str">
        <f>IFERROR(__xludf.DUMMYFUNCTION("GOOGLETRANSLATE(B593,""en"",""iw"")"),"דרך לרדת")</f>
        <v>דרך לרדת</v>
      </c>
      <c r="N593" s="65" t="str">
        <f>IFERROR(__xludf.DUMMYFUNCTION("GOOGLETRANSLATE(B593,""en"",""bn"")"),"ড্রপ করার উপায়")</f>
        <v>ড্রপ করার উপায়</v>
      </c>
      <c r="O593" s="4" t="str">
        <f>IFERROR(__xludf.DUMMYFUNCTION("GOOGLETRANSLATE(B593,""en"",""pt"")"),"Maneira de cair")</f>
        <v>Maneira de cair</v>
      </c>
    </row>
    <row r="594">
      <c r="A594" s="88" t="s">
        <v>1398</v>
      </c>
      <c r="B594" s="91" t="s">
        <v>1399</v>
      </c>
      <c r="C594" s="64" t="str">
        <f>IFERROR(__xludf.DUMMYFUNCTION("GOOGLETRANSLATE(B594,""en"",""hi"")"),"5 मिनट के बाद, अतिरिक्त प्रतीक्षा समय के लिए **/मिनट का अधिभार लागू होता है।")</f>
        <v>5 मिनट के बाद, अतिरिक्त प्रतीक्षा समय के लिए **/मिनट का अधिभार लागू होता है।</v>
      </c>
      <c r="D594" s="65" t="str">
        <f>IFERROR(__xludf.DUMMYFUNCTION("GOOGLETRANSLATE(B594,""en"",""ar"")"),"بعد 5 دقائق، يتم تطبيق رسوم إضافية **/دقيقة مقابل وقت الانتظار الإضافي.")</f>
        <v>بعد 5 دقائق، يتم تطبيق رسوم إضافية **/دقيقة مقابل وقت الانتظار الإضافي.</v>
      </c>
      <c r="E594" s="65" t="str">
        <f>IFERROR(__xludf.DUMMYFUNCTION("GOOGLETRANSLATE(B594,""en"",""fr"")"),"Après 5 minutes, un supplément **/min s'applique pour le temps d'attente supplémentaire.")</f>
        <v>Après 5 minutes, un supplément **/min s'applique pour le temps d'attente supplémentaire.</v>
      </c>
      <c r="F594" s="65" t="str">
        <f>IFERROR(__xludf.DUMMYFUNCTION("GOOGLETRANSLATE(B594,""en"",""tr"")"),"5 dakikadan sonra, ek bekleme süresi için **/dakika ek ücret uygulanır.")</f>
        <v>5 dakikadan sonra, ek bekleme süresi için **/dakika ek ücret uygulanır.</v>
      </c>
      <c r="G594" s="65" t="str">
        <f>IFERROR(__xludf.DUMMYFUNCTION("GOOGLETRANSLATE(B594,""en"",""ru"")"),"По истечении 5 минут взимается доплата **/мин за дополнительное время ожидания.")</f>
        <v>По истечении 5 минут взимается доплата **/мин за дополнительное время ожидания.</v>
      </c>
      <c r="H594" s="65" t="str">
        <f>IFERROR(__xludf.DUMMYFUNCTION("GOOGLETRANSLATE(B594,""en"",""it"")"),"Dopo 5 minuti, verrà applicato un supplemento di **/min per il tempo di attesa aggiuntivo.")</f>
        <v>Dopo 5 minuti, verrà applicato un supplemento di **/min per il tempo di attesa aggiuntivo.</v>
      </c>
      <c r="I594" s="65" t="str">
        <f>IFERROR(__xludf.DUMMYFUNCTION("GOOGLETRANSLATE(B594,""en"",""de"")"),"Ab 5 Minuten fällt für die zusätzliche Wartezeit ein **/min-Zuschlag an.")</f>
        <v>Ab 5 Minuten fällt für die zusätzliche Wartezeit ein **/min-Zuschlag an.</v>
      </c>
      <c r="J594" s="65" t="str">
        <f>IFERROR(__xludf.DUMMYFUNCTION("GOOGLETRANSLATE(B594,""en"",""ko"")"),"5분이 지나면 추가 대기 시간에 대한 **/분의 추가 요금이 적용됩니다.")</f>
        <v>5분이 지나면 추가 대기 시간에 대한 **/분의 추가 요금이 적용됩니다.</v>
      </c>
      <c r="K594" s="65" t="str">
        <f>IFERROR(__xludf.DUMMYFUNCTION("GOOGLETRANSLATE(B594,""en"",""zh"")"),"5 分钟后，额外的等待时间将按**/分钟收取附加费。")</f>
        <v>5 分钟后，额外的等待时间将按**/分钟收取附加费。</v>
      </c>
      <c r="L594" s="65" t="str">
        <f>IFERROR(__xludf.DUMMYFUNCTION("GOOGLETRANSLATE(B594,""en"",""es"")"),"Después de 5 minutos, se aplica un recargo de **/min por tiempo de espera adicional.")</f>
        <v>Después de 5 minutos, se aplica un recargo de **/min por tiempo de espera adicional.</v>
      </c>
      <c r="M594" s="64" t="str">
        <f>IFERROR(__xludf.DUMMYFUNCTION("GOOGLETRANSLATE(B594,""en"",""iw"")"),"לאחר 5 דקות, חלה תוספת של **/דקה עבור זמן המתנה נוסף.")</f>
        <v>לאחר 5 דקות, חלה תוספת של **/דקה עבור זמן המתנה נוסף.</v>
      </c>
      <c r="N594" s="65" t="str">
        <f>IFERROR(__xludf.DUMMYFUNCTION("GOOGLETRANSLATE(B594,""en"",""bn"")"),"5 মিনিটের পরে, অতিরিক্ত অপেক্ষার সময়ের জন্য একটি **/মিনিট সারচার্জ প্রযোজ্য।")</f>
        <v>5 মিনিটের পরে, অতিরিক্ত অপেক্ষার সময়ের জন্য একটি **/মিনিট সারচার্জ প্রযোজ্য।</v>
      </c>
      <c r="O594" s="4" t="str">
        <f>IFERROR(__xludf.DUMMYFUNCTION("GOOGLETRANSLATE(B594,""en"",""pt"")"),"Após 5 minutos, será cobrada uma sobretaxa de **/minuto pelo tempo de espera adicional.")</f>
        <v>Após 5 minutos, será cobrada uma sobretaxa de **/minuto pelo tempo de espera adicional.</v>
      </c>
    </row>
    <row r="595">
      <c r="A595" s="88" t="s">
        <v>1400</v>
      </c>
      <c r="B595" s="91" t="s">
        <v>954</v>
      </c>
      <c r="C595" s="64" t="str">
        <f>IFERROR(__xludf.DUMMYFUNCTION("GOOGLETRANSLATE(B595,""en"",""hi"")"),"संपर्क जोड़ना")</f>
        <v>संपर्क जोड़ना</v>
      </c>
      <c r="D595" s="65" t="str">
        <f>IFERROR(__xludf.DUMMYFUNCTION("GOOGLETRANSLATE(B595,""en"",""ar"")"),"إضافة جهة اتصال")</f>
        <v>إضافة جهة اتصال</v>
      </c>
      <c r="E595" s="65" t="str">
        <f>IFERROR(__xludf.DUMMYFUNCTION("GOOGLETRANSLATE(B595,""en"",""fr"")"),"Ajouter un contact")</f>
        <v>Ajouter un contact</v>
      </c>
      <c r="F595" s="65" t="str">
        <f>IFERROR(__xludf.DUMMYFUNCTION("GOOGLETRANSLATE(B595,""en"",""tr"")"),"Bir Kişi Ekle")</f>
        <v>Bir Kişi Ekle</v>
      </c>
      <c r="G595" s="65" t="str">
        <f>IFERROR(__xludf.DUMMYFUNCTION("GOOGLETRANSLATE(B595,""en"",""ru"")"),"Добавить контакт")</f>
        <v>Добавить контакт</v>
      </c>
      <c r="H595" s="65" t="str">
        <f>IFERROR(__xludf.DUMMYFUNCTION("GOOGLETRANSLATE(B595,""en"",""it"")"),"Aggiungi un contatto")</f>
        <v>Aggiungi un contatto</v>
      </c>
      <c r="I595" s="65" t="str">
        <f>IFERROR(__xludf.DUMMYFUNCTION("GOOGLETRANSLATE(B595,""en"",""de"")"),"Einen Kontakt hinzufügen")</f>
        <v>Einen Kontakt hinzufügen</v>
      </c>
      <c r="J595" s="65" t="str">
        <f>IFERROR(__xludf.DUMMYFUNCTION("GOOGLETRANSLATE(B595,""en"",""ko"")"),"연락처 추가")</f>
        <v>연락처 추가</v>
      </c>
      <c r="K595" s="65" t="str">
        <f>IFERROR(__xludf.DUMMYFUNCTION("GOOGLETRANSLATE(B595,""en"",""zh"")"),"添加联系人")</f>
        <v>添加联系人</v>
      </c>
      <c r="L595" s="65" t="str">
        <f>IFERROR(__xludf.DUMMYFUNCTION("GOOGLETRANSLATE(B595,""en"",""es"")"),"Agregar un contacto")</f>
        <v>Agregar un contacto</v>
      </c>
      <c r="M595" s="64" t="str">
        <f>IFERROR(__xludf.DUMMYFUNCTION("GOOGLETRANSLATE(B595,""en"",""iw"")"),"הוסף איש קשר")</f>
        <v>הוסף איש קשר</v>
      </c>
      <c r="N595" s="65" t="str">
        <f>IFERROR(__xludf.DUMMYFUNCTION("GOOGLETRANSLATE(B595,""en"",""bn"")"),"একটি পরিচিতি যোগ করুন")</f>
        <v>একটি পরিচিতি যোগ করুন</v>
      </c>
      <c r="O595" s="4" t="str">
        <f>IFERROR(__xludf.DUMMYFUNCTION("GOOGLETRANSLATE(B595,""en"",""pt"")"),"Adicionar um contato")</f>
        <v>Adicionar um contato</v>
      </c>
    </row>
    <row r="596">
      <c r="A596" s="88" t="s">
        <v>1401</v>
      </c>
      <c r="B596" s="91" t="s">
        <v>1402</v>
      </c>
      <c r="C596" s="64" t="str">
        <f>IFERROR(__xludf.DUMMYFUNCTION("GOOGLETRANSLATE(B596,""en"",""hi"")"),"कोई संपर्क नहीं जोड़ा गया है..!")</f>
        <v>कोई संपर्क नहीं जोड़ा गया है..!</v>
      </c>
      <c r="D596" s="65" t="str">
        <f>IFERROR(__xludf.DUMMYFUNCTION("GOOGLETRANSLATE(B596,""en"",""ar"")"),"لم تتم إضافة أي جهات اتصال..!")</f>
        <v>لم تتم إضافة أي جهات اتصال..!</v>
      </c>
      <c r="E596" s="65" t="str">
        <f>IFERROR(__xludf.DUMMYFUNCTION("GOOGLETRANSLATE(B596,""en"",""fr"")"),"Aucun contact n'a été ajouté..!")</f>
        <v>Aucun contact n'a été ajouté..!</v>
      </c>
      <c r="F596" s="65" t="str">
        <f>IFERROR(__xludf.DUMMYFUNCTION("GOOGLETRANSLATE(B596,""en"",""tr"")"),"Hiçbir kişi eklenmedi..!")</f>
        <v>Hiçbir kişi eklenmedi..!</v>
      </c>
      <c r="G596" s="65" t="str">
        <f>IFERROR(__xludf.DUMMYFUNCTION("GOOGLETRANSLATE(B596,""en"",""ru"")"),"Контакты не добавлены..!")</f>
        <v>Контакты не добавлены..!</v>
      </c>
      <c r="H596" s="65" t="str">
        <f>IFERROR(__xludf.DUMMYFUNCTION("GOOGLETRANSLATE(B596,""en"",""it"")"),"Nessun contatto è stato aggiunto..!")</f>
        <v>Nessun contatto è stato aggiunto..!</v>
      </c>
      <c r="I596" s="65" t="str">
        <f>IFERROR(__xludf.DUMMYFUNCTION("GOOGLETRANSLATE(B596,""en"",""de"")"),"Es wurden keine Kontakte hinzugefügt..!")</f>
        <v>Es wurden keine Kontakte hinzugefügt..!</v>
      </c>
      <c r="J596" s="65" t="str">
        <f>IFERROR(__xludf.DUMMYFUNCTION("GOOGLETRANSLATE(B596,""en"",""ko"")"),"연락처가 추가되지 않았습니다..!")</f>
        <v>연락처가 추가되지 않았습니다..!</v>
      </c>
      <c r="K596" s="65" t="str">
        <f>IFERROR(__xludf.DUMMYFUNCTION("GOOGLETRANSLATE(B596,""en"",""zh"")"),"尚未添加联系人..！")</f>
        <v>尚未添加联系人..！</v>
      </c>
      <c r="L596" s="65" t="str">
        <f>IFERROR(__xludf.DUMMYFUNCTION("GOOGLETRANSLATE(B596,""en"",""es"")"),"¡No se han añadido contactos!")</f>
        <v>¡No se han añadido contactos!</v>
      </c>
      <c r="M596" s="64" t="str">
        <f>IFERROR(__xludf.DUMMYFUNCTION("GOOGLETRANSLATE(B596,""en"",""iw"")"),"לא נוספו אנשי קשר..!")</f>
        <v>לא נוספו אנשי קשר..!</v>
      </c>
      <c r="N596" s="65" t="str">
        <f>IFERROR(__xludf.DUMMYFUNCTION("GOOGLETRANSLATE(B596,""en"",""bn"")"),"কোন পরিচিতি যোগ করা হয়নি..!")</f>
        <v>কোন পরিচিতি যোগ করা হয়নি..!</v>
      </c>
      <c r="O596" s="4" t="str">
        <f>IFERROR(__xludf.DUMMYFUNCTION("GOOGLETRANSLATE(B596,""en"",""pt"")"),"Nenhum contato foi adicionado..!")</f>
        <v>Nenhum contato foi adicionado..!</v>
      </c>
    </row>
    <row r="597">
      <c r="A597" s="88" t="s">
        <v>1403</v>
      </c>
      <c r="B597" s="91" t="s">
        <v>1404</v>
      </c>
      <c r="C597" s="64" t="str">
        <f>IFERROR(__xludf.DUMMYFUNCTION("GOOGLETRANSLATE(B597,""en"",""hi"")"),"कृपया अपनी सुरक्षा सुनिश्चित करने के लिए संपर्क जोड़ें।")</f>
        <v>कृपया अपनी सुरक्षा सुनिश्चित करने के लिए संपर्क जोड़ें।</v>
      </c>
      <c r="D597" s="65" t="str">
        <f>IFERROR(__xludf.DUMMYFUNCTION("GOOGLETRANSLATE(B597,""en"",""ar"")"),"يرجى إضافة جهات الاتصال لضمان سلامتك.")</f>
        <v>يرجى إضافة جهات الاتصال لضمان سلامتك.</v>
      </c>
      <c r="E597" s="65" t="str">
        <f>IFERROR(__xludf.DUMMYFUNCTION("GOOGLETRANSLATE(B597,""en"",""fr"")"),"Veuillez ajouter des contacts pour assurer votre sécurité.")</f>
        <v>Veuillez ajouter des contacts pour assurer votre sécurité.</v>
      </c>
      <c r="F597" s="65" t="str">
        <f>IFERROR(__xludf.DUMMYFUNCTION("GOOGLETRANSLATE(B597,""en"",""tr"")"),"Güvenliğiniz için lütfen iletişim bilgilerinizi ekleyin.")</f>
        <v>Güvenliğiniz için lütfen iletişim bilgilerinizi ekleyin.</v>
      </c>
      <c r="G597" s="65" t="str">
        <f>IFERROR(__xludf.DUMMYFUNCTION("GOOGLETRANSLATE(B597,""en"",""ru"")"),"Пожалуйста, добавьте контакты для обеспечения вашей безопасности.")</f>
        <v>Пожалуйста, добавьте контакты для обеспечения вашей безопасности.</v>
      </c>
      <c r="H597" s="65" t="str">
        <f>IFERROR(__xludf.DUMMYFUNCTION("GOOGLETRANSLATE(B597,""en"",""it"")"),"Aggiungi i contatti per garantire la tua sicurezza.")</f>
        <v>Aggiungi i contatti per garantire la tua sicurezza.</v>
      </c>
      <c r="I597" s="65" t="str">
        <f>IFERROR(__xludf.DUMMYFUNCTION("GOOGLETRANSLATE(B597,""en"",""de"")"),"Bitte fügen Sie Kontakte hinzu, um Ihre Sicherheit zu gewährleisten.")</f>
        <v>Bitte fügen Sie Kontakte hinzu, um Ihre Sicherheit zu gewährleisten.</v>
      </c>
      <c r="J597" s="65" t="str">
        <f>IFERROR(__xludf.DUMMYFUNCTION("GOOGLETRANSLATE(B597,""en"",""ko"")"),"귀하의 안전을 위해 연락처를 추가해 주세요.")</f>
        <v>귀하의 안전을 위해 연락처를 추가해 주세요.</v>
      </c>
      <c r="K597" s="65" t="str">
        <f>IFERROR(__xludf.DUMMYFUNCTION("GOOGLETRANSLATE(B597,""en"",""zh"")"),"请添加联系人以确保您的安全。")</f>
        <v>请添加联系人以确保您的安全。</v>
      </c>
      <c r="L597" s="65" t="str">
        <f>IFERROR(__xludf.DUMMYFUNCTION("GOOGLETRANSLATE(B597,""en"",""es"")"),"Agregue contactos para garantizar su seguridad.")</f>
        <v>Agregue contactos para garantizar su seguridad.</v>
      </c>
      <c r="M597" s="64" t="str">
        <f>IFERROR(__xludf.DUMMYFUNCTION("GOOGLETRANSLATE(B597,""en"",""iw"")"),"אנא הוסף אנשי קשר כדי להבטיח את בטיחותך.")</f>
        <v>אנא הוסף אנשי קשר כדי להבטיח את בטיחותך.</v>
      </c>
      <c r="N597" s="65" t="str">
        <f>IFERROR(__xludf.DUMMYFUNCTION("GOOGLETRANSLATE(B597,""en"",""bn"")"),"আপনার নিরাপত্তা নিশ্চিত করতে পরিচিতি যোগ করুন.")</f>
        <v>আপনার নিরাপত্তা নিশ্চিত করতে পরিচিতি যোগ করুন.</v>
      </c>
      <c r="O597" s="4" t="str">
        <f>IFERROR(__xludf.DUMMYFUNCTION("GOOGLETRANSLATE(B597,""en"",""pt"")"),"Adicione contatos para garantir sua segurança.")</f>
        <v>Adicione contatos para garantir sua segurança.</v>
      </c>
    </row>
    <row r="598">
      <c r="A598" s="88" t="s">
        <v>1405</v>
      </c>
      <c r="B598" s="91" t="s">
        <v>1406</v>
      </c>
      <c r="C598" s="64" t="str">
        <f>IFERROR(__xludf.DUMMYFUNCTION("GOOGLETRANSLATE(B598,""en"",""hi"")"),"मानचित्र सेटिंग्स")</f>
        <v>मानचित्र सेटिंग्स</v>
      </c>
      <c r="D598" s="65" t="str">
        <f>IFERROR(__xludf.DUMMYFUNCTION("GOOGLETRANSLATE(B598,""en"",""ar"")"),"إعدادات الخريطة")</f>
        <v>إعدادات الخريطة</v>
      </c>
      <c r="E598" s="65" t="str">
        <f>IFERROR(__xludf.DUMMYFUNCTION("GOOGLETRANSLATE(B598,""en"",""fr"")"),"Paramètres de la carte")</f>
        <v>Paramètres de la carte</v>
      </c>
      <c r="F598" s="65" t="str">
        <f>IFERROR(__xludf.DUMMYFUNCTION("GOOGLETRANSLATE(B598,""en"",""tr"")"),"Harita Ayarları")</f>
        <v>Harita Ayarları</v>
      </c>
      <c r="G598" s="65" t="str">
        <f>IFERROR(__xludf.DUMMYFUNCTION("GOOGLETRANSLATE(B598,""en"",""ru"")"),"Настройки карты")</f>
        <v>Настройки карты</v>
      </c>
      <c r="H598" s="65" t="str">
        <f>IFERROR(__xludf.DUMMYFUNCTION("GOOGLETRANSLATE(B598,""en"",""it"")"),"Impostazioni mappa")</f>
        <v>Impostazioni mappa</v>
      </c>
      <c r="I598" s="65" t="str">
        <f>IFERROR(__xludf.DUMMYFUNCTION("GOOGLETRANSLATE(B598,""en"",""de"")"),"Karteneinstellungen")</f>
        <v>Karteneinstellungen</v>
      </c>
      <c r="J598" s="65" t="str">
        <f>IFERROR(__xludf.DUMMYFUNCTION("GOOGLETRANSLATE(B598,""en"",""ko"")"),"지도 설정")</f>
        <v>지도 설정</v>
      </c>
      <c r="K598" s="65" t="str">
        <f>IFERROR(__xludf.DUMMYFUNCTION("GOOGLETRANSLATE(B598,""en"",""zh"")"),"地图设置")</f>
        <v>地图设置</v>
      </c>
      <c r="L598" s="65" t="str">
        <f>IFERROR(__xludf.DUMMYFUNCTION("GOOGLETRANSLATE(B598,""en"",""es"")"),"Configuración del mapa")</f>
        <v>Configuración del mapa</v>
      </c>
      <c r="M598" s="64" t="str">
        <f>IFERROR(__xludf.DUMMYFUNCTION("GOOGLETRANSLATE(B598,""en"",""iw"")"),"הגדרות מפה")</f>
        <v>הגדרות מפה</v>
      </c>
      <c r="N598" s="65" t="str">
        <f>IFERROR(__xludf.DUMMYFUNCTION("GOOGLETRANSLATE(B598,""en"",""bn"")"),"মানচিত্র সেটিংস")</f>
        <v>মানচিত্র সেটিংস</v>
      </c>
      <c r="O598" s="4" t="str">
        <f>IFERROR(__xludf.DUMMYFUNCTION("GOOGLETRANSLATE(B598,""en"",""pt"")"),"Configurações do mapa")</f>
        <v>Configurações do mapa</v>
      </c>
    </row>
    <row r="599">
      <c r="A599" s="88" t="s">
        <v>1407</v>
      </c>
      <c r="B599" s="91" t="s">
        <v>1408</v>
      </c>
      <c r="C599" s="64" t="str">
        <f>IFERROR(__xludf.DUMMYFUNCTION("GOOGLETRANSLATE(B599,""en"",""hi"")"),"अभी रीसेट करें")</f>
        <v>अभी रीसेट करें</v>
      </c>
      <c r="D599" s="65" t="str">
        <f>IFERROR(__xludf.DUMMYFUNCTION("GOOGLETRANSLATE(B599,""en"",""ar"")"),"إعادة التعيين إلى الآن")</f>
        <v>إعادة التعيين إلى الآن</v>
      </c>
      <c r="E599" s="65" t="str">
        <f>IFERROR(__xludf.DUMMYFUNCTION("GOOGLETRANSLATE(B599,""en"",""fr"")"),"Réinitialiser à maintenant")</f>
        <v>Réinitialiser à maintenant</v>
      </c>
      <c r="F599" s="65" t="str">
        <f>IFERROR(__xludf.DUMMYFUNCTION("GOOGLETRANSLATE(B599,""en"",""tr"")"),"Şimdi Sıfırla")</f>
        <v>Şimdi Sıfırla</v>
      </c>
      <c r="G599" s="65" t="str">
        <f>IFERROR(__xludf.DUMMYFUNCTION("GOOGLETRANSLATE(B599,""en"",""ru"")"),"Сбросить сейчас")</f>
        <v>Сбросить сейчас</v>
      </c>
      <c r="H599" s="65" t="str">
        <f>IFERROR(__xludf.DUMMYFUNCTION("GOOGLETRANSLATE(B599,""en"",""it"")"),"Ripristina ora")</f>
        <v>Ripristina ora</v>
      </c>
      <c r="I599" s="65" t="str">
        <f>IFERROR(__xludf.DUMMYFUNCTION("GOOGLETRANSLATE(B599,""en"",""de"")"),"Auf Jetzt zurücksetzen")</f>
        <v>Auf Jetzt zurücksetzen</v>
      </c>
      <c r="J599" s="65" t="str">
        <f>IFERROR(__xludf.DUMMYFUNCTION("GOOGLETRANSLATE(B599,""en"",""ko"")"),"지금으로 재설정")</f>
        <v>지금으로 재설정</v>
      </c>
      <c r="K599" s="65" t="str">
        <f>IFERROR(__xludf.DUMMYFUNCTION("GOOGLETRANSLATE(B599,""en"",""zh"")"),"重置为现在")</f>
        <v>重置为现在</v>
      </c>
      <c r="L599" s="65" t="str">
        <f>IFERROR(__xludf.DUMMYFUNCTION("GOOGLETRANSLATE(B599,""en"",""es"")"),"Restablecer a ahora")</f>
        <v>Restablecer a ahora</v>
      </c>
      <c r="M599" s="64" t="str">
        <f>IFERROR(__xludf.DUMMYFUNCTION("GOOGLETRANSLATE(B599,""en"",""iw"")"),"אפס לעכשיו")</f>
        <v>אפס לעכשיו</v>
      </c>
      <c r="N599" s="65" t="str">
        <f>IFERROR(__xludf.DUMMYFUNCTION("GOOGLETRANSLATE(B599,""en"",""bn"")"),"এখন রিসেট করুন")</f>
        <v>এখন রিসেট করুন</v>
      </c>
      <c r="O599" s="4" t="str">
        <f>IFERROR(__xludf.DUMMYFUNCTION("GOOGLETRANSLATE(B599,""en"",""pt"")"),"Redefinir para agora")</f>
        <v>Redefinir para agora</v>
      </c>
    </row>
    <row r="600">
      <c r="A600" s="88" t="s">
        <v>1409</v>
      </c>
      <c r="B600" s="91" t="s">
        <v>1410</v>
      </c>
      <c r="C600" s="64" t="str">
        <f>IFERROR(__xludf.DUMMYFUNCTION("GOOGLETRANSLATE(B600,""en"",""hi"")"),"अभी तक कोई बोली नहीं")</f>
        <v>अभी तक कोई बोली नहीं</v>
      </c>
      <c r="D600" s="65" t="str">
        <f>IFERROR(__xludf.DUMMYFUNCTION("GOOGLETRANSLATE(B600,""en"",""ar"")"),"لا توجد عروض حتى الآن")</f>
        <v>لا توجد عروض حتى الآن</v>
      </c>
      <c r="E600" s="65" t="str">
        <f>IFERROR(__xludf.DUMMYFUNCTION("GOOGLETRANSLATE(B600,""en"",""fr"")"),"Aucune offre pour le moment")</f>
        <v>Aucune offre pour le moment</v>
      </c>
      <c r="F600" s="65" t="str">
        <f>IFERROR(__xludf.DUMMYFUNCTION("GOOGLETRANSLATE(B600,""en"",""tr"")"),"Henüz Teklif Yok")</f>
        <v>Henüz Teklif Yok</v>
      </c>
      <c r="G600" s="65" t="str">
        <f>IFERROR(__xludf.DUMMYFUNCTION("GOOGLETRANSLATE(B600,""en"",""ru"")"),"Пока нет ставок")</f>
        <v>Пока нет ставок</v>
      </c>
      <c r="H600" s="65" t="str">
        <f>IFERROR(__xludf.DUMMYFUNCTION("GOOGLETRANSLATE(B600,""en"",""it"")"),"Nessuna offerta ancora")</f>
        <v>Nessuna offerta ancora</v>
      </c>
      <c r="I600" s="65" t="str">
        <f>IFERROR(__xludf.DUMMYFUNCTION("GOOGLETRANSLATE(B600,""en"",""de"")"),"Noch keine Gebote")</f>
        <v>Noch keine Gebote</v>
      </c>
      <c r="J600" s="65" t="str">
        <f>IFERROR(__xludf.DUMMYFUNCTION("GOOGLETRANSLATE(B600,""en"",""ko"")"),"아직 입찰이 없습니다")</f>
        <v>아직 입찰이 없습니다</v>
      </c>
      <c r="K600" s="65" t="str">
        <f>IFERROR(__xludf.DUMMYFUNCTION("GOOGLETRANSLATE(B600,""en"",""zh"")"),"尚无出价")</f>
        <v>尚无出价</v>
      </c>
      <c r="L600" s="65" t="str">
        <f>IFERROR(__xludf.DUMMYFUNCTION("GOOGLETRANSLATE(B600,""en"",""es"")"),"No hay ofertas todavía")</f>
        <v>No hay ofertas todavía</v>
      </c>
      <c r="M600" s="64" t="str">
        <f>IFERROR(__xludf.DUMMYFUNCTION("GOOGLETRANSLATE(B600,""en"",""iw"")"),"עדיין אין הצעות")</f>
        <v>עדיין אין הצעות</v>
      </c>
      <c r="N600" s="65" t="str">
        <f>IFERROR(__xludf.DUMMYFUNCTION("GOOGLETRANSLATE(B600,""en"",""bn"")"),"এখনও কোন বিড")</f>
        <v>এখনও কোন বিড</v>
      </c>
      <c r="O600" s="4" t="str">
        <f>IFERROR(__xludf.DUMMYFUNCTION("GOOGLETRANSLATE(B600,""en"",""pt"")"),"Nenhum lance ainda")</f>
        <v>Nenhum lance ainda</v>
      </c>
    </row>
    <row r="601">
      <c r="A601" s="88" t="s">
        <v>1411</v>
      </c>
      <c r="B601" s="91" t="s">
        <v>1412</v>
      </c>
      <c r="C601" s="64" t="str">
        <f>IFERROR(__xludf.DUMMYFUNCTION("GOOGLETRANSLATE(B601,""en"",""hi"")"),"अपनी शिकायतें चुनें")</f>
        <v>अपनी शिकायतें चुनें</v>
      </c>
      <c r="D601" s="65" t="str">
        <f>IFERROR(__xludf.DUMMYFUNCTION("GOOGLETRANSLATE(B601,""en"",""ar"")"),"اختر شكواك")</f>
        <v>اختر شكواك</v>
      </c>
      <c r="E601" s="65" t="str">
        <f>IFERROR(__xludf.DUMMYFUNCTION("GOOGLETRANSLATE(B601,""en"",""fr"")"),"Choisissez vos réclamations")</f>
        <v>Choisissez vos réclamations</v>
      </c>
      <c r="F601" s="65" t="str">
        <f>IFERROR(__xludf.DUMMYFUNCTION("GOOGLETRANSLATE(B601,""en"",""tr"")"),"Şikayetlerinizi Seçin")</f>
        <v>Şikayetlerinizi Seçin</v>
      </c>
      <c r="G601" s="65" t="str">
        <f>IFERROR(__xludf.DUMMYFUNCTION("GOOGLETRANSLATE(B601,""en"",""ru"")"),"Выберите ваши жалобы")</f>
        <v>Выберите ваши жалобы</v>
      </c>
      <c r="H601" s="65" t="str">
        <f>IFERROR(__xludf.DUMMYFUNCTION("GOOGLETRANSLATE(B601,""en"",""it"")"),"Scegli i tuoi reclami")</f>
        <v>Scegli i tuoi reclami</v>
      </c>
      <c r="I601" s="65" t="str">
        <f>IFERROR(__xludf.DUMMYFUNCTION("GOOGLETRANSLATE(B601,""en"",""de"")"),"Wählen Sie Ihre Beschwerden")</f>
        <v>Wählen Sie Ihre Beschwerden</v>
      </c>
      <c r="J601" s="65" t="str">
        <f>IFERROR(__xludf.DUMMYFUNCTION("GOOGLETRANSLATE(B601,""en"",""ko"")"),"불만 사항을 선택하세요")</f>
        <v>불만 사항을 선택하세요</v>
      </c>
      <c r="K601" s="65" t="str">
        <f>IFERROR(__xludf.DUMMYFUNCTION("GOOGLETRANSLATE(B601,""en"",""zh"")"),"选择您的投诉")</f>
        <v>选择您的投诉</v>
      </c>
      <c r="L601" s="65" t="str">
        <f>IFERROR(__xludf.DUMMYFUNCTION("GOOGLETRANSLATE(B601,""en"",""es"")"),"Elige tus quejas")</f>
        <v>Elige tus quejas</v>
      </c>
      <c r="M601" s="64" t="str">
        <f>IFERROR(__xludf.DUMMYFUNCTION("GOOGLETRANSLATE(B601,""en"",""iw"")"),"בחר את התלונות שלך")</f>
        <v>בחר את התלונות שלך</v>
      </c>
      <c r="N601" s="65" t="str">
        <f>IFERROR(__xludf.DUMMYFUNCTION("GOOGLETRANSLATE(B601,""en"",""bn"")"),"আপনার অভিযোগ চয়ন করুন")</f>
        <v>আপনার অভিযোগ চয়ন করুন</v>
      </c>
      <c r="O601" s="4" t="str">
        <f>IFERROR(__xludf.DUMMYFUNCTION("GOOGLETRANSLATE(B601,""en"",""pt"")"),"Escolha suas reclamações")</f>
        <v>Escolha suas reclamações</v>
      </c>
    </row>
    <row r="602">
      <c r="A602" s="88" t="s">
        <v>1413</v>
      </c>
      <c r="B602" s="91" t="s">
        <v>1414</v>
      </c>
      <c r="C602" s="64" t="str">
        <f>IFERROR(__xludf.DUMMYFUNCTION("GOOGLETRANSLATE(B602,""en"",""hi"")"),"बीमा")</f>
        <v>बीमा</v>
      </c>
      <c r="D602" s="65" t="str">
        <f>IFERROR(__xludf.DUMMYFUNCTION("GOOGLETRANSLATE(B602,""en"",""ar"")"),"الضمان")</f>
        <v>الضمان</v>
      </c>
      <c r="E602" s="65" t="str">
        <f>IFERROR(__xludf.DUMMYFUNCTION("GOOGLETRANSLATE(B602,""en"",""fr"")"),"ASSURANCE")</f>
        <v>ASSURANCE</v>
      </c>
      <c r="F602" s="65" t="str">
        <f>IFERROR(__xludf.DUMMYFUNCTION("GOOGLETRANSLATE(B602,""en"",""tr"")"),"GÜVENCE")</f>
        <v>GÜVENCE</v>
      </c>
      <c r="G602" s="65" t="str">
        <f>IFERROR(__xludf.DUMMYFUNCTION("GOOGLETRANSLATE(B602,""en"",""ru"")"),"ГАРАНТИЯ")</f>
        <v>ГАРАНТИЯ</v>
      </c>
      <c r="H602" s="65" t="str">
        <f>IFERROR(__xludf.DUMMYFUNCTION("GOOGLETRANSLATE(B602,""en"",""it"")"),"ASSICURAZIONE")</f>
        <v>ASSICURAZIONE</v>
      </c>
      <c r="I602" s="65" t="str">
        <f>IFERROR(__xludf.DUMMYFUNCTION("GOOGLETRANSLATE(B602,""en"",""de"")"),"SICHERHEIT")</f>
        <v>SICHERHEIT</v>
      </c>
      <c r="J602" s="65" t="str">
        <f>IFERROR(__xludf.DUMMYFUNCTION("GOOGLETRANSLATE(B602,""en"",""ko"")"),"보증")</f>
        <v>보증</v>
      </c>
      <c r="K602" s="65" t="str">
        <f>IFERROR(__xludf.DUMMYFUNCTION("GOOGLETRANSLATE(B602,""en"",""zh"")"),"保证")</f>
        <v>保证</v>
      </c>
      <c r="L602" s="65" t="str">
        <f>IFERROR(__xludf.DUMMYFUNCTION("GOOGLETRANSLATE(B602,""en"",""es"")"),"GARANTÍA")</f>
        <v>GARANTÍA</v>
      </c>
      <c r="M602" s="64" t="str">
        <f>IFERROR(__xludf.DUMMYFUNCTION("GOOGLETRANSLATE(B602,""en"",""iw"")"),"הַבטָחָה")</f>
        <v>הַבטָחָה</v>
      </c>
      <c r="N602" s="65" t="str">
        <f>IFERROR(__xludf.DUMMYFUNCTION("GOOGLETRANSLATE(B602,""en"",""bn"")"),"আশ্বাস")</f>
        <v>আশ্বাস</v>
      </c>
      <c r="O602" s="4" t="str">
        <f>IFERROR(__xludf.DUMMYFUNCTION("GOOGLETRANSLATE(B602,""en"",""pt"")"),"GARANTIA")</f>
        <v>GARANTIA</v>
      </c>
    </row>
    <row r="603">
      <c r="A603" s="88" t="s">
        <v>1415</v>
      </c>
      <c r="B603" s="91" t="s">
        <v>1416</v>
      </c>
      <c r="C603" s="64" t="str">
        <f>IFERROR(__xludf.DUMMYFUNCTION("GOOGLETRANSLATE(B603,""en"",""hi"")"),"हमारे ग्राहकों की सुरक्षा सर्वप्रथम, सदैव एवं सदैव")</f>
        <v>हमारे ग्राहकों की सुरक्षा सर्वप्रथम, सदैव एवं सदैव</v>
      </c>
      <c r="D603" s="65" t="str">
        <f>IFERROR(__xludf.DUMMYFUNCTION("GOOGLETRANSLATE(B603,""en"",""ar"")"),"سلامة عملائنا أولاً دائماً وأبداً")</f>
        <v>سلامة عملائنا أولاً دائماً وأبداً</v>
      </c>
      <c r="E603" s="65" t="str">
        <f>IFERROR(__xludf.DUMMYFUNCTION("GOOGLETRANSLATE(B603,""en"",""fr"")"),"La sécurité de nos clients avant tout Toujours et pour toujours")</f>
        <v>La sécurité de nos clients avant tout Toujours et pour toujours</v>
      </c>
      <c r="F603" s="65" t="str">
        <f>IFERROR(__xludf.DUMMYFUNCTION("GOOGLETRANSLATE(B603,""en"",""tr"")"),"Müşterilerimizin güvenliği her zaman ve sonsuza dek önceliğimizdir")</f>
        <v>Müşterilerimizin güvenliği her zaman ve sonsuza dek önceliğimizdir</v>
      </c>
      <c r="G603" s="65" t="str">
        <f>IFERROR(__xludf.DUMMYFUNCTION("GOOGLETRANSLATE(B603,""en"",""ru"")"),"Безопасность наших клиентов превыше всего Всегда и навсегда")</f>
        <v>Безопасность наших клиентов превыше всего Всегда и навсегда</v>
      </c>
      <c r="H603" s="65" t="str">
        <f>IFERROR(__xludf.DUMMYFUNCTION("GOOGLETRANSLATE(B603,""en"",""it"")"),"La sicurezza dei nostri clienti prima di tutto Sempre e per sempre")</f>
        <v>La sicurezza dei nostri clienti prima di tutto Sempre e per sempre</v>
      </c>
      <c r="I603" s="65" t="str">
        <f>IFERROR(__xludf.DUMMYFUNCTION("GOOGLETRANSLATE(B603,""en"",""de"")"),"Die Sicherheit unserer Kunden steht immer an erster Stelle.")</f>
        <v>Die Sicherheit unserer Kunden steht immer an erster Stelle.</v>
      </c>
      <c r="J603" s="65" t="str">
        <f>IFERROR(__xludf.DUMMYFUNCTION("GOOGLETRANSLATE(B603,""en"",""ko"")"),"고객의 안전을 최우선으로 항상 &amp; 영원히")</f>
        <v>고객의 안전을 최우선으로 항상 &amp; 영원히</v>
      </c>
      <c r="K603" s="65" t="str">
        <f>IFERROR(__xludf.DUMMYFUNCTION("GOOGLETRANSLATE(B603,""en"",""zh"")"),"我们的客户安全永远是第一位的")</f>
        <v>我们的客户安全永远是第一位的</v>
      </c>
      <c r="L603" s="65" t="str">
        <f>IFERROR(__xludf.DUMMYFUNCTION("GOOGLETRANSLATE(B603,""en"",""es"")"),"La seguridad de nuestros clientes es lo primero Siempre y para siempre")</f>
        <v>La seguridad de nuestros clientes es lo primero Siempre y para siempre</v>
      </c>
      <c r="M603" s="64" t="str">
        <f>IFERROR(__xludf.DUMMYFUNCTION("GOOGLETRANSLATE(B603,""en"",""iw"")"),"בטיחות הלקוחות שלנו קודם כל תמיד ולתמיד")</f>
        <v>בטיחות הלקוחות שלנו קודם כל תמיד ולתמיד</v>
      </c>
      <c r="N603" s="65" t="str">
        <f>IFERROR(__xludf.DUMMYFUNCTION("GOOGLETRANSLATE(B603,""en"",""bn"")"),"আমাদের গ্রাহকদের নিরাপত্তা প্রথম সর্বদা এবং চিরতরে")</f>
        <v>আমাদের গ্রাহকদের নিরাপত্তা প্রথম সর্বদা এবং চিরতরে</v>
      </c>
      <c r="O603" s="4" t="str">
        <f>IFERROR(__xludf.DUMMYFUNCTION("GOOGLETRANSLATE(B603,""en"",""pt"")"),"A segurança dos nossos clientes em primeiro lugar Sempre e para sempre")</f>
        <v>A segurança dos nossos clientes em primeiro lugar Sempre e para sempre</v>
      </c>
    </row>
    <row r="604">
      <c r="A604" s="88" t="s">
        <v>1417</v>
      </c>
      <c r="B604" s="91" t="s">
        <v>1418</v>
      </c>
      <c r="C604" s="64" t="str">
        <f>IFERROR(__xludf.DUMMYFUNCTION("GOOGLETRANSLATE(B604,""en"",""hi"")"),"स्पष्टता")</f>
        <v>स्पष्टता</v>
      </c>
      <c r="D604" s="65" t="str">
        <f>IFERROR(__xludf.DUMMYFUNCTION("GOOGLETRANSLATE(B604,""en"",""ar"")"),"الوضوح")</f>
        <v>الوضوح</v>
      </c>
      <c r="E604" s="65" t="str">
        <f>IFERROR(__xludf.DUMMYFUNCTION("GOOGLETRANSLATE(B604,""en"",""fr"")"),"CLARTÉ")</f>
        <v>CLARTÉ</v>
      </c>
      <c r="F604" s="65" t="str">
        <f>IFERROR(__xludf.DUMMYFUNCTION("GOOGLETRANSLATE(B604,""en"",""tr"")"),"NETLİK")</f>
        <v>NETLİK</v>
      </c>
      <c r="G604" s="65" t="str">
        <f>IFERROR(__xludf.DUMMYFUNCTION("GOOGLETRANSLATE(B604,""en"",""ru"")"),"ЯСНОСТЬ")</f>
        <v>ЯСНОСТЬ</v>
      </c>
      <c r="H604" s="65" t="str">
        <f>IFERROR(__xludf.DUMMYFUNCTION("GOOGLETRANSLATE(B604,""en"",""it"")"),"CHIAREZZA")</f>
        <v>CHIAREZZA</v>
      </c>
      <c r="I604" s="65" t="str">
        <f>IFERROR(__xludf.DUMMYFUNCTION("GOOGLETRANSLATE(B604,""en"",""de"")"),"KLARHEIT")</f>
        <v>KLARHEIT</v>
      </c>
      <c r="J604" s="65" t="str">
        <f>IFERROR(__xludf.DUMMYFUNCTION("GOOGLETRANSLATE(B604,""en"",""ko"")"),"명쾌함")</f>
        <v>명쾌함</v>
      </c>
      <c r="K604" s="65" t="str">
        <f>IFERROR(__xludf.DUMMYFUNCTION("GOOGLETRANSLATE(B604,""en"",""zh"")"),"明晰")</f>
        <v>明晰</v>
      </c>
      <c r="L604" s="65" t="str">
        <f>IFERROR(__xludf.DUMMYFUNCTION("GOOGLETRANSLATE(B604,""en"",""es"")"),"CLARIDAD")</f>
        <v>CLARIDAD</v>
      </c>
      <c r="M604" s="64" t="str">
        <f>IFERROR(__xludf.DUMMYFUNCTION("GOOGLETRANSLATE(B604,""en"",""iw"")"),"בְּהִירוּת")</f>
        <v>בְּהִירוּת</v>
      </c>
      <c r="N604" s="65" t="str">
        <f>IFERROR(__xludf.DUMMYFUNCTION("GOOGLETRANSLATE(B604,""en"",""bn"")"),"স্বচ্ছতা")</f>
        <v>স্বচ্ছতা</v>
      </c>
      <c r="O604" s="4" t="str">
        <f>IFERROR(__xludf.DUMMYFUNCTION("GOOGLETRANSLATE(B604,""en"",""pt"")"),"CLAREZA")</f>
        <v>CLAREZA</v>
      </c>
    </row>
    <row r="605">
      <c r="A605" s="88" t="s">
        <v>1419</v>
      </c>
      <c r="B605" s="91" t="s">
        <v>1420</v>
      </c>
      <c r="C605" s="64" t="str">
        <f>IFERROR(__xludf.DUMMYFUNCTION("GOOGLETRANSLATE(B605,""en"",""hi"")"),"उचित मूल्य, आपका विश्वास बिल्कुल स्पष्ट, हमारा वादा")</f>
        <v>उचित मूल्य, आपका विश्वास बिल्कुल स्पष्ट, हमारा वादा</v>
      </c>
      <c r="D605" s="65" t="str">
        <f>IFERROR(__xludf.DUMMYFUNCTION("GOOGLETRANSLATE(B605,""en"",""ar"")"),"أسعار عادلة، ثقة واضحة، وعدنا")</f>
        <v>أسعار عادلة، ثقة واضحة، وعدنا</v>
      </c>
      <c r="E605" s="65" t="str">
        <f>IFERROR(__xludf.DUMMYFUNCTION("GOOGLETRANSLATE(B605,""en"",""fr"")"),"Des prix équitables, une confiance absolue, notre promesse")</f>
        <v>Des prix équitables, une confiance absolue, notre promesse</v>
      </c>
      <c r="F605" s="65" t="str">
        <f>IFERROR(__xludf.DUMMYFUNCTION("GOOGLETRANSLATE(B605,""en"",""tr"")"),"Adil Fiyatlandırma, Kristal Netliğinde Güveniniz, Sözümüz")</f>
        <v>Adil Fiyatlandırma, Kristal Netliğinde Güveniniz, Sözümüz</v>
      </c>
      <c r="G605" s="65" t="str">
        <f>IFERROR(__xludf.DUMMYFUNCTION("GOOGLETRANSLATE(B605,""en"",""ru"")"),"Справедливые цены, кристально чистое доверие, наше обещание")</f>
        <v>Справедливые цены, кристально чистое доверие, наше обещание</v>
      </c>
      <c r="H605" s="65" t="str">
        <f>IFERROR(__xludf.DUMMYFUNCTION("GOOGLETRANSLATE(B605,""en"",""it"")"),"Prezzi equi, la tua fiducia è cristallina, la nostra promessa")</f>
        <v>Prezzi equi, la tua fiducia è cristallina, la nostra promessa</v>
      </c>
      <c r="I605" s="65" t="str">
        <f>IFERROR(__xludf.DUMMYFUNCTION("GOOGLETRANSLATE(B605,""en"",""de"")"),"Faire Preise, kristallklar Ihr Vertrauen, unser Versprechen")</f>
        <v>Faire Preise, kristallklar Ihr Vertrauen, unser Versprechen</v>
      </c>
      <c r="J605" s="65" t="str">
        <f>IFERROR(__xludf.DUMMYFUNCTION("GOOGLETRANSLATE(B605,""en"",""ko"")"),"공정한 가격, 확실한 신뢰, 우리의 약속")</f>
        <v>공정한 가격, 확실한 신뢰, 우리의 약속</v>
      </c>
      <c r="K605" s="65" t="str">
        <f>IFERROR(__xludf.DUMMYFUNCTION("GOOGLETRANSLATE(B605,""en"",""zh"")"),"公平定价，清晰的信任，我们的承诺")</f>
        <v>公平定价，清晰的信任，我们的承诺</v>
      </c>
      <c r="L605" s="65" t="str">
        <f>IFERROR(__xludf.DUMMYFUNCTION("GOOGLETRANSLATE(B605,""en"",""es"")"),"Precios justos, transparencia total. Su confianza es nuestra promesa.")</f>
        <v>Precios justos, transparencia total. Su confianza es nuestra promesa.</v>
      </c>
      <c r="M605" s="64" t="str">
        <f>IFERROR(__xludf.DUMMYFUNCTION("GOOGLETRANSLATE(B605,""en"",""iw"")"),"תמחור הוגן, נקה את האמון שלך, ההבטחה שלנו")</f>
        <v>תמחור הוגן, נקה את האמון שלך, ההבטחה שלנו</v>
      </c>
      <c r="N605" s="65" t="str">
        <f>IFERROR(__xludf.DUMMYFUNCTION("GOOGLETRANSLATE(B605,""en"",""bn"")"),"ন্যায্য মূল্য, ক্রিস্টাল ক্লিয়ার আপনার বিশ্বাস, আমাদের প্রতিশ্রুতি")</f>
        <v>ন্যায্য মূল্য, ক্রিস্টাল ক্লিয়ার আপনার বিশ্বাস, আমাদের প্রতিশ্রুতি</v>
      </c>
      <c r="O605" s="4" t="str">
        <f>IFERROR(__xludf.DUMMYFUNCTION("GOOGLETRANSLATE(B605,""en"",""pt"")"),"Preços justos, sua confiança é cristalina, nossa promessa")</f>
        <v>Preços justos, sua confiança é cristalina, nossa promessa</v>
      </c>
    </row>
    <row r="606">
      <c r="A606" s="88" t="s">
        <v>1421</v>
      </c>
      <c r="B606" s="91" t="s">
        <v>1422</v>
      </c>
      <c r="C606" s="64" t="str">
        <f>IFERROR(__xludf.DUMMYFUNCTION("GOOGLETRANSLATE(B606,""en"",""hi"")"),"सहज")</f>
        <v>सहज</v>
      </c>
      <c r="D606" s="65" t="str">
        <f>IFERROR(__xludf.DUMMYFUNCTION("GOOGLETRANSLATE(B606,""en"",""ar"")"),"بديهي")</f>
        <v>بديهي</v>
      </c>
      <c r="E606" s="65" t="str">
        <f>IFERROR(__xludf.DUMMYFUNCTION("GOOGLETRANSLATE(B606,""en"",""fr"")"),"INTUITIF")</f>
        <v>INTUITIF</v>
      </c>
      <c r="F606" s="65" t="str">
        <f>IFERROR(__xludf.DUMMYFUNCTION("GOOGLETRANSLATE(B606,""en"",""tr"")"),"Sezgisel")</f>
        <v>Sezgisel</v>
      </c>
      <c r="G606" s="65" t="str">
        <f>IFERROR(__xludf.DUMMYFUNCTION("GOOGLETRANSLATE(B606,""en"",""ru"")"),"ИНТУИТИВНЫЙ")</f>
        <v>ИНТУИТИВНЫЙ</v>
      </c>
      <c r="H606" s="65" t="str">
        <f>IFERROR(__xludf.DUMMYFUNCTION("GOOGLETRANSLATE(B606,""en"",""it"")"),"INTUITIVO")</f>
        <v>INTUITIVO</v>
      </c>
      <c r="I606" s="65" t="str">
        <f>IFERROR(__xludf.DUMMYFUNCTION("GOOGLETRANSLATE(B606,""en"",""de"")"),"INTUTIVE")</f>
        <v>INTUTIVE</v>
      </c>
      <c r="J606" s="65" t="str">
        <f>IFERROR(__xludf.DUMMYFUNCTION("GOOGLETRANSLATE(B606,""en"",""ko"")"),"직관적")</f>
        <v>직관적</v>
      </c>
      <c r="K606" s="65" t="str">
        <f>IFERROR(__xludf.DUMMYFUNCTION("GOOGLETRANSLATE(B606,""en"",""zh"")"),"直观")</f>
        <v>直观</v>
      </c>
      <c r="L606" s="65" t="str">
        <f>IFERROR(__xludf.DUMMYFUNCTION("GOOGLETRANSLATE(B606,""en"",""es"")"),"INTUTIVO")</f>
        <v>INTUTIVO</v>
      </c>
      <c r="M606" s="64" t="str">
        <f>IFERROR(__xludf.DUMMYFUNCTION("GOOGLETRANSLATE(B606,""en"",""iw"")"),"אינטואיטיבי")</f>
        <v>אינטואיטיבי</v>
      </c>
      <c r="N606" s="65" t="str">
        <f>IFERROR(__xludf.DUMMYFUNCTION("GOOGLETRANSLATE(B606,""en"",""bn"")"),"স্বজ্ঞাত")</f>
        <v>স্বজ্ঞাত</v>
      </c>
      <c r="O606" s="4" t="str">
        <f>IFERROR(__xludf.DUMMYFUNCTION("GOOGLETRANSLATE(B606,""en"",""pt"")"),"INTUTIVO")</f>
        <v>INTUTIVO</v>
      </c>
    </row>
    <row r="607">
      <c r="A607" s="88" t="s">
        <v>1423</v>
      </c>
      <c r="B607" s="91" t="s">
        <v>1424</v>
      </c>
      <c r="C607" s="64" t="str">
        <f>IFERROR(__xludf.DUMMYFUNCTION("GOOGLETRANSLATE(B607,""en"",""hi"")"),"निर्बाध यात्राएँ, एक टैप की दूरी पर")</f>
        <v>निर्बाध यात्राएँ, एक टैप की दूरी पर</v>
      </c>
      <c r="D607" s="65" t="str">
        <f>IFERROR(__xludf.DUMMYFUNCTION("GOOGLETRANSLATE(B607,""en"",""ar"")"),"رحلات سلسة، بنقرة واحدة فقط")</f>
        <v>رحلات سلسة، بنقرة واحدة فقط</v>
      </c>
      <c r="E607" s="65" t="str">
        <f>IFERROR(__xludf.DUMMYFUNCTION("GOOGLETRANSLATE(B607,""en"",""fr"")"),"Des voyages fluides, à portée de clic")</f>
        <v>Des voyages fluides, à portée de clic</v>
      </c>
      <c r="F607" s="65" t="str">
        <f>IFERROR(__xludf.DUMMYFUNCTION("GOOGLETRANSLATE(B607,""en"",""tr"")"),"Kusursuz Yolculuklar, Tek Dokunuş Uzaklıkta")</f>
        <v>Kusursuz Yolculuklar, Tek Dokunuş Uzaklıkta</v>
      </c>
      <c r="G607" s="65" t="str">
        <f>IFERROR(__xludf.DUMMYFUNCTION("GOOGLETRANSLATE(B607,""en"",""ru"")"),"Плавные путешествия одним касанием")</f>
        <v>Плавные путешествия одним касанием</v>
      </c>
      <c r="H607" s="65" t="str">
        <f>IFERROR(__xludf.DUMMYFUNCTION("GOOGLETRANSLATE(B607,""en"",""it"")"),"Viaggi senza interruzioni, con un tocco di distanza")</f>
        <v>Viaggi senza interruzioni, con un tocco di distanza</v>
      </c>
      <c r="I607" s="65" t="str">
        <f>IFERROR(__xludf.DUMMYFUNCTION("GOOGLETRANSLATE(B607,""en"",""de"")"),"Reibungslose Reisen, nur einen Fingertipp entfernt")</f>
        <v>Reibungslose Reisen, nur einen Fingertipp entfernt</v>
      </c>
      <c r="J607" s="65" t="str">
        <f>IFERROR(__xludf.DUMMYFUNCTION("GOOGLETRANSLATE(B607,""en"",""ko"")"),"원터치로 끊김 없는 여정을 경험하세요")</f>
        <v>원터치로 끊김 없는 여정을 경험하세요</v>
      </c>
      <c r="K607" s="65" t="str">
        <f>IFERROR(__xludf.DUMMYFUNCTION("GOOGLETRANSLATE(B607,""en"",""zh"")"),"一键开启无缝旅程")</f>
        <v>一键开启无缝旅程</v>
      </c>
      <c r="L607" s="65" t="str">
        <f>IFERROR(__xludf.DUMMYFUNCTION("GOOGLETRANSLATE(B607,""en"",""es"")"),"Viajes sin interrupciones, a un solo toque")</f>
        <v>Viajes sin interrupciones, a un solo toque</v>
      </c>
      <c r="M607" s="64" t="str">
        <f>IFERROR(__xludf.DUMMYFUNCTION("GOOGLETRANSLATE(B607,""en"",""iw"")"),"מסעות חלקים, לחיצה אחת משם")</f>
        <v>מסעות חלקים, לחיצה אחת משם</v>
      </c>
      <c r="N607" s="65" t="str">
        <f>IFERROR(__xludf.DUMMYFUNCTION("GOOGLETRANSLATE(B607,""en"",""bn"")"),"বিরামহীন যাত্রা, এক ট্যাপ দূরে")</f>
        <v>বিরামহীন যাত্রা, এক ট্যাপ দূরে</v>
      </c>
      <c r="O607" s="4" t="str">
        <f>IFERROR(__xludf.DUMMYFUNCTION("GOOGLETRANSLATE(B607,""en"",""pt"")"),"Viagens perfeitas, a um toque de distância")</f>
        <v>Viagens perfeitas, a um toque de distância</v>
      </c>
    </row>
    <row r="608">
      <c r="A608" s="88" t="s">
        <v>1425</v>
      </c>
      <c r="B608" s="91" t="s">
        <v>1426</v>
      </c>
      <c r="C608" s="64" t="str">
        <f>IFERROR(__xludf.DUMMYFUNCTION("GOOGLETRANSLATE(B608,""en"",""hi"")"),"सहायता")</f>
        <v>सहायता</v>
      </c>
      <c r="D608" s="65" t="str">
        <f>IFERROR(__xludf.DUMMYFUNCTION("GOOGLETRANSLATE(B608,""en"",""ar"")"),"يدعم")</f>
        <v>يدعم</v>
      </c>
      <c r="E608" s="65" t="str">
        <f>IFERROR(__xludf.DUMMYFUNCTION("GOOGLETRANSLATE(B608,""en"",""fr"")"),"SOUTIEN")</f>
        <v>SOUTIEN</v>
      </c>
      <c r="F608" s="65" t="str">
        <f>IFERROR(__xludf.DUMMYFUNCTION("GOOGLETRANSLATE(B608,""en"",""tr"")"),"DESTEK")</f>
        <v>DESTEK</v>
      </c>
      <c r="G608" s="65" t="str">
        <f>IFERROR(__xludf.DUMMYFUNCTION("GOOGLETRANSLATE(B608,""en"",""ru"")"),"ПОДДЕРЖИВАТЬ")</f>
        <v>ПОДДЕРЖИВАТЬ</v>
      </c>
      <c r="H608" s="65" t="str">
        <f>IFERROR(__xludf.DUMMYFUNCTION("GOOGLETRANSLATE(B608,""en"",""it"")"),"SUPPORTO")</f>
        <v>SUPPORTO</v>
      </c>
      <c r="I608" s="65" t="str">
        <f>IFERROR(__xludf.DUMMYFUNCTION("GOOGLETRANSLATE(B608,""en"",""de"")"),"UNTERSTÜTZUNG")</f>
        <v>UNTERSTÜTZUNG</v>
      </c>
      <c r="J608" s="65" t="str">
        <f>IFERROR(__xludf.DUMMYFUNCTION("GOOGLETRANSLATE(B608,""en"",""ko"")"),"지원하다")</f>
        <v>지원하다</v>
      </c>
      <c r="K608" s="65" t="str">
        <f>IFERROR(__xludf.DUMMYFUNCTION("GOOGLETRANSLATE(B608,""en"",""zh"")"),"支持")</f>
        <v>支持</v>
      </c>
      <c r="L608" s="65" t="str">
        <f>IFERROR(__xludf.DUMMYFUNCTION("GOOGLETRANSLATE(B608,""en"",""es"")"),"APOYO")</f>
        <v>APOYO</v>
      </c>
      <c r="M608" s="64" t="str">
        <f>IFERROR(__xludf.DUMMYFUNCTION("GOOGLETRANSLATE(B608,""en"",""iw"")"),"תְמִיכָה")</f>
        <v>תְמִיכָה</v>
      </c>
      <c r="N608" s="65" t="str">
        <f>IFERROR(__xludf.DUMMYFUNCTION("GOOGLETRANSLATE(B608,""en"",""bn"")"),"সমর্থন")</f>
        <v>সমর্থন</v>
      </c>
      <c r="O608" s="4" t="str">
        <f>IFERROR(__xludf.DUMMYFUNCTION("GOOGLETRANSLATE(B608,""en"",""pt"")"),"APOIAR")</f>
        <v>APOIAR</v>
      </c>
    </row>
    <row r="609">
      <c r="A609" s="88" t="s">
        <v>1427</v>
      </c>
      <c r="B609" s="91" t="s">
        <v>1428</v>
      </c>
      <c r="C609" s="64" t="str">
        <f>IFERROR(__xludf.DUMMYFUNCTION("GOOGLETRANSLATE(B609,""en"",""hi"")"),"आपकी यात्रा, हमारी प्रतिबद्धता: चौबीसों घंटे सहायता")</f>
        <v>आपकी यात्रा, हमारी प्रतिबद्धता: चौबीसों घंटे सहायता</v>
      </c>
      <c r="D609" s="65" t="str">
        <f>IFERROR(__xludf.DUMMYFUNCTION("GOOGLETRANSLATE(B609,""en"",""ar"")"),"رحلتك، التزامنا: الدعم على مدار الساعة")</f>
        <v>رحلتك، التزامنا: الدعم على مدار الساعة</v>
      </c>
      <c r="E609" s="65" t="str">
        <f>IFERROR(__xludf.DUMMYFUNCTION("GOOGLETRANSLATE(B609,""en"",""fr"")"),"Votre voyage, notre engagement : une assistance 24h/24")</f>
        <v>Votre voyage, notre engagement : une assistance 24h/24</v>
      </c>
      <c r="F609" s="65" t="str">
        <f>IFERROR(__xludf.DUMMYFUNCTION("GOOGLETRANSLATE(B609,""en"",""tr"")"),"Yolculuğunuz, Taahhüdümüz: 7/24 Destek")</f>
        <v>Yolculuğunuz, Taahhüdümüz: 7/24 Destek</v>
      </c>
      <c r="G609" s="65" t="str">
        <f>IFERROR(__xludf.DUMMYFUNCTION("GOOGLETRANSLATE(B609,""en"",""ru"")"),"Ваше путешествие, наша приверженность: круглосуточная поддержка")</f>
        <v>Ваше путешествие, наша приверженность: круглосуточная поддержка</v>
      </c>
      <c r="H609" s="65" t="str">
        <f>IFERROR(__xludf.DUMMYFUNCTION("GOOGLETRANSLATE(B609,""en"",""it"")"),"Il tuo viaggio, il nostro impegno: supporto 24 ore su 24")</f>
        <v>Il tuo viaggio, il nostro impegno: supporto 24 ore su 24</v>
      </c>
      <c r="I609" s="65" t="str">
        <f>IFERROR(__xludf.DUMMYFUNCTION("GOOGLETRANSLATE(B609,""en"",""de"")"),"Ihre Reise, unser Engagement: Unterstützung rund um die Uhr")</f>
        <v>Ihre Reise, unser Engagement: Unterstützung rund um die Uhr</v>
      </c>
      <c r="J609" s="65" t="str">
        <f>IFERROR(__xludf.DUMMYFUNCTION("GOOGLETRANSLATE(B609,""en"",""ko"")"),"귀하의 여정, 당사의 약속: 24시간 지원")</f>
        <v>귀하의 여정, 당사의 약속: 24시간 지원</v>
      </c>
      <c r="K609" s="65" t="str">
        <f>IFERROR(__xludf.DUMMYFUNCTION("GOOGLETRANSLATE(B609,""en"",""zh"")"),"您的旅程，我们的承诺：全天候支持")</f>
        <v>您的旅程，我们的承诺：全天候支持</v>
      </c>
      <c r="L609" s="65" t="str">
        <f>IFERROR(__xludf.DUMMYFUNCTION("GOOGLETRANSLATE(B609,""en"",""es"")"),"Tu viaje, nuestro compromiso: Apoyo las 24 horas")</f>
        <v>Tu viaje, nuestro compromiso: Apoyo las 24 horas</v>
      </c>
      <c r="M609" s="64" t="str">
        <f>IFERROR(__xludf.DUMMYFUNCTION("GOOGLETRANSLATE(B609,""en"",""iw"")"),"המסע שלך, המחויבות שלנו: תמיכה מסביב לשעון")</f>
        <v>המסע שלך, המחויבות שלנו: תמיכה מסביב לשעון</v>
      </c>
      <c r="N609" s="65" t="str">
        <f>IFERROR(__xludf.DUMMYFUNCTION("GOOGLETRANSLATE(B609,""en"",""bn"")"),"আপনার যাত্রা, আমাদের প্রতিশ্রুতি: ঘড়ির চারপাশে সমর্থন")</f>
        <v>আপনার যাত্রা, আমাদের প্রতিশ্রুতি: ঘড়ির চারপাশে সমর্থন</v>
      </c>
      <c r="O609" s="4" t="str">
        <f>IFERROR(__xludf.DUMMYFUNCTION("GOOGLETRANSLATE(B609,""en"",""pt"")"),"Sua jornada, nosso compromisso: suporte 24 horas por dia")</f>
        <v>Sua jornada, nosso compromisso: suporte 24 horas por dia</v>
      </c>
    </row>
    <row r="610">
      <c r="A610" s="88" t="s">
        <v>1429</v>
      </c>
      <c r="B610" s="91" t="s">
        <v>1430</v>
      </c>
      <c r="C610" s="64" t="str">
        <f>IFERROR(__xludf.DUMMYFUNCTION("GOOGLETRANSLATE(B610,""en"",""hi"")"),"अन्वेषण के लिए अपनी भूमिका चुनें")</f>
        <v>अन्वेषण के लिए अपनी भूमिका चुनें</v>
      </c>
      <c r="D610" s="65" t="str">
        <f>IFERROR(__xludf.DUMMYFUNCTION("GOOGLETRANSLATE(B610,""en"",""ar"")"),"اختر دورك للاستكشاف")</f>
        <v>اختر دورك للاستكشاف</v>
      </c>
      <c r="E610" s="65" t="str">
        <f>IFERROR(__xludf.DUMMYFUNCTION("GOOGLETRANSLATE(B610,""en"",""fr"")"),"Choisissez votre rôle à explorer")</f>
        <v>Choisissez votre rôle à explorer</v>
      </c>
      <c r="F610" s="65" t="str">
        <f>IFERROR(__xludf.DUMMYFUNCTION("GOOGLETRANSLATE(B610,""en"",""tr"")"),"Keşfetmek için rolünüzü seçin")</f>
        <v>Keşfetmek için rolünüzü seçin</v>
      </c>
      <c r="G610" s="65" t="str">
        <f>IFERROR(__xludf.DUMMYFUNCTION("GOOGLETRANSLATE(B610,""en"",""ru"")"),"Выберите свою роль для изучения")</f>
        <v>Выберите свою роль для изучения</v>
      </c>
      <c r="H610" s="65" t="str">
        <f>IFERROR(__xludf.DUMMYFUNCTION("GOOGLETRANSLATE(B610,""en"",""it"")"),"Scegli il tuo ruolo da esplorare")</f>
        <v>Scegli il tuo ruolo da esplorare</v>
      </c>
      <c r="I610" s="65" t="str">
        <f>IFERROR(__xludf.DUMMYFUNCTION("GOOGLETRANSLATE(B610,""en"",""de"")"),"Wählen Sie Ihre Rolle zum Erkunden")</f>
        <v>Wählen Sie Ihre Rolle zum Erkunden</v>
      </c>
      <c r="J610" s="65" t="str">
        <f>IFERROR(__xludf.DUMMYFUNCTION("GOOGLETRANSLATE(B610,""en"",""ko"")"),"탐색할 역할을 선택하세요")</f>
        <v>탐색할 역할을 선택하세요</v>
      </c>
      <c r="K610" s="65" t="str">
        <f>IFERROR(__xludf.DUMMYFUNCTION("GOOGLETRANSLATE(B610,""en"",""zh"")"),"选择您的角色进行探索")</f>
        <v>选择您的角色进行探索</v>
      </c>
      <c r="L610" s="65" t="str">
        <f>IFERROR(__xludf.DUMMYFUNCTION("GOOGLETRANSLATE(B610,""en"",""es"")"),"Elige tu rol para explorar")</f>
        <v>Elige tu rol para explorar</v>
      </c>
      <c r="M610" s="64" t="str">
        <f>IFERROR(__xludf.DUMMYFUNCTION("GOOGLETRANSLATE(B610,""en"",""iw"")"),"בחר את התפקיד שלך לחקור")</f>
        <v>בחר את התפקיד שלך לחקור</v>
      </c>
      <c r="N610" s="65" t="str">
        <f>IFERROR(__xludf.DUMMYFUNCTION("GOOGLETRANSLATE(B610,""en"",""bn"")"),"অন্বেষণ করতে আপনার ভূমিকা চয়ন করুন")</f>
        <v>অন্বেষণ করতে আপনার ভূমিকা চয়ন করুন</v>
      </c>
      <c r="O610" s="4" t="str">
        <f>IFERROR(__xludf.DUMMYFUNCTION("GOOGLETRANSLATE(B610,""en"",""pt"")"),"Escolha sua função para explorar")</f>
        <v>Escolha sua função para explorar</v>
      </c>
    </row>
    <row r="611">
      <c r="A611" s="88" t="s">
        <v>1431</v>
      </c>
      <c r="B611" s="91" t="s">
        <v>1432</v>
      </c>
      <c r="C611" s="64" t="str">
        <f>IFERROR(__xludf.DUMMYFUNCTION("GOOGLETRANSLATE(B611,""en"",""hi"")"),"दाखिल करना")</f>
        <v>दाखिल करना</v>
      </c>
      <c r="D611" s="65" t="str">
        <f>IFERROR(__xludf.DUMMYFUNCTION("GOOGLETRANSLATE(B611,""en"",""ar"")"),"تسجيل الدخول")</f>
        <v>تسجيل الدخول</v>
      </c>
      <c r="E611" s="65" t="str">
        <f>IFERROR(__xludf.DUMMYFUNCTION("GOOGLETRANSLATE(B611,""en"",""fr"")"),"Se connecter")</f>
        <v>Se connecter</v>
      </c>
      <c r="F611" s="65" t="str">
        <f>IFERROR(__xludf.DUMMYFUNCTION("GOOGLETRANSLATE(B611,""en"",""tr"")"),"Giriş Yap")</f>
        <v>Giriş Yap</v>
      </c>
      <c r="G611" s="65" t="str">
        <f>IFERROR(__xludf.DUMMYFUNCTION("GOOGLETRANSLATE(B611,""en"",""ru"")"),"Войти")</f>
        <v>Войти</v>
      </c>
      <c r="H611" s="65" t="str">
        <f>IFERROR(__xludf.DUMMYFUNCTION("GOOGLETRANSLATE(B611,""en"",""it"")"),"Registrazione")</f>
        <v>Registrazione</v>
      </c>
      <c r="I611" s="65" t="str">
        <f>IFERROR(__xludf.DUMMYFUNCTION("GOOGLETRANSLATE(B611,""en"",""de"")"),"Anmelden")</f>
        <v>Anmelden</v>
      </c>
      <c r="J611" s="65" t="str">
        <f>IFERROR(__xludf.DUMMYFUNCTION("GOOGLETRANSLATE(B611,""en"",""ko"")"),"로그인")</f>
        <v>로그인</v>
      </c>
      <c r="K611" s="65" t="str">
        <f>IFERROR(__xludf.DUMMYFUNCTION("GOOGLETRANSLATE(B611,""en"",""zh"")"),"登入")</f>
        <v>登入</v>
      </c>
      <c r="L611" s="65" t="str">
        <f>IFERROR(__xludf.DUMMYFUNCTION("GOOGLETRANSLATE(B611,""en"",""es"")"),"Iniciar sesión")</f>
        <v>Iniciar sesión</v>
      </c>
      <c r="M611" s="64" t="str">
        <f>IFERROR(__xludf.DUMMYFUNCTION("GOOGLETRANSLATE(B611,""en"",""iw"")"),"היכנס")</f>
        <v>היכנס</v>
      </c>
      <c r="N611" s="65" t="str">
        <f>IFERROR(__xludf.DUMMYFUNCTION("GOOGLETRANSLATE(B611,""en"",""bn"")"),"সাইন ইন করুন")</f>
        <v>সাইন ইন করুন</v>
      </c>
      <c r="O611" s="4" t="str">
        <f>IFERROR(__xludf.DUMMYFUNCTION("GOOGLETRANSLATE(B611,""en"",""pt"")"),"Entrar")</f>
        <v>Entrar</v>
      </c>
    </row>
    <row r="612">
      <c r="A612" s="88" t="s">
        <v>1433</v>
      </c>
      <c r="B612" s="91" t="s">
        <v>1434</v>
      </c>
      <c r="C612" s="64" t="str">
        <f>IFERROR(__xludf.DUMMYFUNCTION("GOOGLETRANSLATE(B612,""en"",""hi"")"),"ईमेल/ मोबाइल")</f>
        <v>ईमेल/ मोबाइल</v>
      </c>
      <c r="D612" s="65" t="str">
        <f>IFERROR(__xludf.DUMMYFUNCTION("GOOGLETRANSLATE(B612,""en"",""ar"")"),"البريد الإلكتروني/الجوال")</f>
        <v>البريد الإلكتروني/الجوال</v>
      </c>
      <c r="E612" s="65" t="str">
        <f>IFERROR(__xludf.DUMMYFUNCTION("GOOGLETRANSLATE(B612,""en"",""fr"")"),"Courriel/Mobile")</f>
        <v>Courriel/Mobile</v>
      </c>
      <c r="F612" s="65" t="str">
        <f>IFERROR(__xludf.DUMMYFUNCTION("GOOGLETRANSLATE(B612,""en"",""tr"")"),"E-posta/ Mobil")</f>
        <v>E-posta/ Mobil</v>
      </c>
      <c r="G612" s="65" t="str">
        <f>IFERROR(__xludf.DUMMYFUNCTION("GOOGLETRANSLATE(B612,""en"",""ru"")"),"Электронная почта/Мобильный телефон")</f>
        <v>Электронная почта/Мобильный телефон</v>
      </c>
      <c r="H612" s="65" t="str">
        <f>IFERROR(__xludf.DUMMYFUNCTION("GOOGLETRANSLATE(B612,""en"",""it"")"),"E-mail/Cellulare")</f>
        <v>E-mail/Cellulare</v>
      </c>
      <c r="I612" s="65" t="str">
        <f>IFERROR(__xludf.DUMMYFUNCTION("GOOGLETRANSLATE(B612,""en"",""de"")"),"E-Mail/Mobil")</f>
        <v>E-Mail/Mobil</v>
      </c>
      <c r="J612" s="65" t="str">
        <f>IFERROR(__xludf.DUMMYFUNCTION("GOOGLETRANSLATE(B612,""en"",""ko"")"),"이메일/모바일")</f>
        <v>이메일/모바일</v>
      </c>
      <c r="K612" s="65" t="str">
        <f>IFERROR(__xludf.DUMMYFUNCTION("GOOGLETRANSLATE(B612,""en"",""zh"")"),"电子邮件/手机")</f>
        <v>电子邮件/手机</v>
      </c>
      <c r="L612" s="65" t="str">
        <f>IFERROR(__xludf.DUMMYFUNCTION("GOOGLETRANSLATE(B612,""en"",""es"")"),"Correo electrónico/Móvil")</f>
        <v>Correo electrónico/Móvil</v>
      </c>
      <c r="M612" s="64" t="str">
        <f>IFERROR(__xludf.DUMMYFUNCTION("GOOGLETRANSLATE(B612,""en"",""iw"")"),"דואר אלקטרוני/נייד")</f>
        <v>דואר אלקטרוני/נייד</v>
      </c>
      <c r="N612" s="65" t="str">
        <f>IFERROR(__xludf.DUMMYFUNCTION("GOOGLETRANSLATE(B612,""en"",""bn"")"),"ইমেইল/ মোবাইল")</f>
        <v>ইমেইল/ মোবাইল</v>
      </c>
      <c r="O612" s="4" t="str">
        <f>IFERROR(__xludf.DUMMYFUNCTION("GOOGLETRANSLATE(B612,""en"",""pt"")"),"E-mail/ Celular")</f>
        <v>E-mail/ Celular</v>
      </c>
    </row>
    <row r="613">
      <c r="A613" s="88" t="s">
        <v>1435</v>
      </c>
      <c r="B613" s="91" t="s">
        <v>1436</v>
      </c>
      <c r="C613" s="64" t="str">
        <f>IFERROR(__xludf.DUMMYFUNCTION("GOOGLETRANSLATE(B613,""en"",""hi"")"),"पास वर्ड दर्ज करें")</f>
        <v>पास वर्ड दर्ज करें</v>
      </c>
      <c r="D613" s="65" t="str">
        <f>IFERROR(__xludf.DUMMYFUNCTION("GOOGLETRANSLATE(B613,""en"",""ar"")"),"أدخل كلمة المرور")</f>
        <v>أدخل كلمة المرور</v>
      </c>
      <c r="E613" s="65" t="str">
        <f>IFERROR(__xludf.DUMMYFUNCTION("GOOGLETRANSLATE(B613,""en"",""fr"")"),"Entrez le mot de passe")</f>
        <v>Entrez le mot de passe</v>
      </c>
      <c r="F613" s="65" t="str">
        <f>IFERROR(__xludf.DUMMYFUNCTION("GOOGLETRANSLATE(B613,""en"",""tr"")"),"Şifreyi Girin")</f>
        <v>Şifreyi Girin</v>
      </c>
      <c r="G613" s="65" t="str">
        <f>IFERROR(__xludf.DUMMYFUNCTION("GOOGLETRANSLATE(B613,""en"",""ru"")"),"Введите пароль")</f>
        <v>Введите пароль</v>
      </c>
      <c r="H613" s="65" t="str">
        <f>IFERROR(__xludf.DUMMYFUNCTION("GOOGLETRANSLATE(B613,""en"",""it"")"),"Inserisci la password")</f>
        <v>Inserisci la password</v>
      </c>
      <c r="I613" s="65" t="str">
        <f>IFERROR(__xludf.DUMMYFUNCTION("GOOGLETRANSLATE(B613,""en"",""de"")"),"Passwort eingeben")</f>
        <v>Passwort eingeben</v>
      </c>
      <c r="J613" s="65" t="str">
        <f>IFERROR(__xludf.DUMMYFUNCTION("GOOGLETRANSLATE(B613,""en"",""ko"")"),"비밀번호를 입력하세요")</f>
        <v>비밀번호를 입력하세요</v>
      </c>
      <c r="K613" s="65" t="str">
        <f>IFERROR(__xludf.DUMMYFUNCTION("GOOGLETRANSLATE(B613,""en"",""zh"")"),"输入密码")</f>
        <v>输入密码</v>
      </c>
      <c r="L613" s="65" t="str">
        <f>IFERROR(__xludf.DUMMYFUNCTION("GOOGLETRANSLATE(B613,""en"",""es"")"),"Introducir contraseña")</f>
        <v>Introducir contraseña</v>
      </c>
      <c r="M613" s="64" t="str">
        <f>IFERROR(__xludf.DUMMYFUNCTION("GOOGLETRANSLATE(B613,""en"",""iw"")"),"הזן סיסמה")</f>
        <v>הזן סיסמה</v>
      </c>
      <c r="N613" s="65" t="str">
        <f>IFERROR(__xludf.DUMMYFUNCTION("GOOGLETRANSLATE(B613,""en"",""bn"")"),"পাসওয়ার্ড লিখুন")</f>
        <v>পাসওয়ার্ড লিখুন</v>
      </c>
      <c r="O613" s="4" t="str">
        <f>IFERROR(__xludf.DUMMYFUNCTION("GOOGLETRANSLATE(B613,""en"",""pt"")"),"Digite a senha")</f>
        <v>Digite a senha</v>
      </c>
    </row>
    <row r="614">
      <c r="A614" s="88" t="s">
        <v>1437</v>
      </c>
      <c r="B614" s="91" t="s">
        <v>1438</v>
      </c>
      <c r="C614" s="64" t="str">
        <f>IFERROR(__xludf.DUMMYFUNCTION("GOOGLETRANSLATE(B614,""en"",""hi"")"),"पासवर्ड भूल गए?")</f>
        <v>पासवर्ड भूल गए?</v>
      </c>
      <c r="D614" s="65" t="str">
        <f>IFERROR(__xludf.DUMMYFUNCTION("GOOGLETRANSLATE(B614,""en"",""ar"")"),"هل نسيت كلمة السر؟")</f>
        <v>هل نسيت كلمة السر؟</v>
      </c>
      <c r="E614" s="65" t="str">
        <f>IFERROR(__xludf.DUMMYFUNCTION("GOOGLETRANSLATE(B614,""en"",""fr"")"),"Mot de passe oublié?")</f>
        <v>Mot de passe oublié?</v>
      </c>
      <c r="F614" s="65" t="str">
        <f>IFERROR(__xludf.DUMMYFUNCTION("GOOGLETRANSLATE(B614,""en"",""tr"")"),"Parolanızı mı unuttunuz?")</f>
        <v>Parolanızı mı unuttunuz?</v>
      </c>
      <c r="G614" s="65" t="str">
        <f>IFERROR(__xludf.DUMMYFUNCTION("GOOGLETRANSLATE(B614,""en"",""ru"")"),"Забыли пароль?")</f>
        <v>Забыли пароль?</v>
      </c>
      <c r="H614" s="65" t="str">
        <f>IFERROR(__xludf.DUMMYFUNCTION("GOOGLETRANSLATE(B614,""en"",""it"")"),"Ha dimenticato la password?")</f>
        <v>Ha dimenticato la password?</v>
      </c>
      <c r="I614" s="65" t="str">
        <f>IFERROR(__xludf.DUMMYFUNCTION("GOOGLETRANSLATE(B614,""en"",""de"")"),"Passwort vergessen?")</f>
        <v>Passwort vergessen?</v>
      </c>
      <c r="J614" s="65" t="str">
        <f>IFERROR(__xludf.DUMMYFUNCTION("GOOGLETRANSLATE(B614,""en"",""ko"")"),"비밀번호를 잊으셨나요?")</f>
        <v>비밀번호를 잊으셨나요?</v>
      </c>
      <c r="K614" s="65" t="str">
        <f>IFERROR(__xludf.DUMMYFUNCTION("GOOGLETRANSLATE(B614,""en"",""zh"")"),"忘记密码？")</f>
        <v>忘记密码？</v>
      </c>
      <c r="L614" s="65" t="str">
        <f>IFERROR(__xludf.DUMMYFUNCTION("GOOGLETRANSLATE(B614,""en"",""es"")"),"¿Has olvidado tu contraseña?")</f>
        <v>¿Has olvidado tu contraseña?</v>
      </c>
      <c r="M614" s="64" t="str">
        <f>IFERROR(__xludf.DUMMYFUNCTION("GOOGLETRANSLATE(B614,""en"",""iw"")"),"שכחת סיסמא?")</f>
        <v>שכחת סיסמא?</v>
      </c>
      <c r="N614" s="65" t="str">
        <f>IFERROR(__xludf.DUMMYFUNCTION("GOOGLETRANSLATE(B614,""en"",""bn"")"),"পাসওয়ার্ড ভুলে গেছেন?")</f>
        <v>পাসওয়ার্ড ভুলে গেছেন?</v>
      </c>
      <c r="O614" s="4" t="str">
        <f>IFERROR(__xludf.DUMMYFUNCTION("GOOGLETRANSLATE(B614,""en"",""pt"")"),"Esqueceu sua senha?")</f>
        <v>Esqueceu sua senha?</v>
      </c>
    </row>
    <row r="615">
      <c r="A615" s="88" t="s">
        <v>1439</v>
      </c>
      <c r="B615" s="91" t="s">
        <v>1440</v>
      </c>
      <c r="C615" s="64" t="str">
        <f>IFERROR(__xludf.DUMMYFUNCTION("GOOGLETRANSLATE(B615,""en"",""hi"")"),"OTP से साइन इन करें?")</f>
        <v>OTP से साइन इन करें?</v>
      </c>
      <c r="D615" s="65" t="str">
        <f>IFERROR(__xludf.DUMMYFUNCTION("GOOGLETRANSLATE(B615,""en"",""ar"")"),"تسجيل الدخول باستخدام OTP؟")</f>
        <v>تسجيل الدخول باستخدام OTP؟</v>
      </c>
      <c r="E615" s="65" t="str">
        <f>IFERROR(__xludf.DUMMYFUNCTION("GOOGLETRANSLATE(B615,""en"",""fr"")"),"Se connecter avec OTP ?")</f>
        <v>Se connecter avec OTP ?</v>
      </c>
      <c r="F615" s="65" t="str">
        <f>IFERROR(__xludf.DUMMYFUNCTION("GOOGLETRANSLATE(B615,""en"",""tr"")"),"OTP ile giriş mi yapıyorsunuz?")</f>
        <v>OTP ile giriş mi yapıyorsunuz?</v>
      </c>
      <c r="G615" s="65" t="str">
        <f>IFERROR(__xludf.DUMMYFUNCTION("GOOGLETRANSLATE(B615,""en"",""ru"")"),"Войти с помощью OTP?")</f>
        <v>Войти с помощью OTP?</v>
      </c>
      <c r="H615" s="65" t="str">
        <f>IFERROR(__xludf.DUMMYFUNCTION("GOOGLETRANSLATE(B615,""en"",""it"")"),"Vuoi effettuare l'accesso con OTP?")</f>
        <v>Vuoi effettuare l'accesso con OTP?</v>
      </c>
      <c r="I615" s="65" t="str">
        <f>IFERROR(__xludf.DUMMYFUNCTION("GOOGLETRANSLATE(B615,""en"",""de"")"),"Mit OTP anmelden?")</f>
        <v>Mit OTP anmelden?</v>
      </c>
      <c r="J615" s="65" t="str">
        <f>IFERROR(__xludf.DUMMYFUNCTION("GOOGLETRANSLATE(B615,""en"",""ko"")"),"OTP로 로그인하시겠습니까?")</f>
        <v>OTP로 로그인하시겠습니까?</v>
      </c>
      <c r="K615" s="65" t="str">
        <f>IFERROR(__xludf.DUMMYFUNCTION("GOOGLETRANSLATE(B615,""en"",""zh"")"),"使用 OTP 登录？")</f>
        <v>使用 OTP 登录？</v>
      </c>
      <c r="L615" s="65" t="str">
        <f>IFERROR(__xludf.DUMMYFUNCTION("GOOGLETRANSLATE(B615,""en"",""es"")"),"¿Iniciar sesión con OTP?")</f>
        <v>¿Iniciar sesión con OTP?</v>
      </c>
      <c r="M615" s="64" t="str">
        <f>IFERROR(__xludf.DUMMYFUNCTION("GOOGLETRANSLATE(B615,""en"",""iw"")"),"להיכנס עם OTP?")</f>
        <v>להיכנס עם OTP?</v>
      </c>
      <c r="N615" s="65" t="str">
        <f>IFERROR(__xludf.DUMMYFUNCTION("GOOGLETRANSLATE(B615,""en"",""bn"")"),"OTP দিয়ে সাইন ইন করবেন?")</f>
        <v>OTP দিয়ে সাইন ইন করবেন?</v>
      </c>
      <c r="O615" s="4" t="str">
        <f>IFERROR(__xludf.DUMMYFUNCTION("GOOGLETRANSLATE(B615,""en"",""pt"")"),"Entrar com OTP?")</f>
        <v>Entrar com OTP?</v>
      </c>
    </row>
    <row r="616">
      <c r="A616" s="88" t="s">
        <v>1441</v>
      </c>
      <c r="B616" s="91" t="s">
        <v>1442</v>
      </c>
      <c r="C616" s="64" t="str">
        <f>IFERROR(__xludf.DUMMYFUNCTION("GOOGLETRANSLATE(B616,""en"",""hi"")"),"पासवर्ड से साइन इन करें?")</f>
        <v>पासवर्ड से साइन इन करें?</v>
      </c>
      <c r="D616" s="65" t="str">
        <f>IFERROR(__xludf.DUMMYFUNCTION("GOOGLETRANSLATE(B616,""en"",""ar"")"),"تسجيل الدخول باستخدام كلمة المرور؟")</f>
        <v>تسجيل الدخول باستخدام كلمة المرور؟</v>
      </c>
      <c r="E616" s="65" t="str">
        <f>IFERROR(__xludf.DUMMYFUNCTION("GOOGLETRANSLATE(B616,""en"",""fr"")"),"Se connecter avec un mot de passe ?")</f>
        <v>Se connecter avec un mot de passe ?</v>
      </c>
      <c r="F616" s="65" t="str">
        <f>IFERROR(__xludf.DUMMYFUNCTION("GOOGLETRANSLATE(B616,""en"",""tr"")"),"Şifre ile giriş mi yapıyorsunuz?")</f>
        <v>Şifre ile giriş mi yapıyorsunuz?</v>
      </c>
      <c r="G616" s="65" t="str">
        <f>IFERROR(__xludf.DUMMYFUNCTION("GOOGLETRANSLATE(B616,""en"",""ru"")"),"Войти с паролем?")</f>
        <v>Войти с паролем?</v>
      </c>
      <c r="H616" s="65" t="str">
        <f>IFERROR(__xludf.DUMMYFUNCTION("GOOGLETRANSLATE(B616,""en"",""it"")"),"Accedi con password?")</f>
        <v>Accedi con password?</v>
      </c>
      <c r="I616" s="65" t="str">
        <f>IFERROR(__xludf.DUMMYFUNCTION("GOOGLETRANSLATE(B616,""en"",""de"")"),"Mit Passwort anmelden?")</f>
        <v>Mit Passwort anmelden?</v>
      </c>
      <c r="J616" s="65" t="str">
        <f>IFERROR(__xludf.DUMMYFUNCTION("GOOGLETRANSLATE(B616,""en"",""ko"")"),"비밀번호로 로그인하시겠습니까?")</f>
        <v>비밀번호로 로그인하시겠습니까?</v>
      </c>
      <c r="K616" s="65" t="str">
        <f>IFERROR(__xludf.DUMMYFUNCTION("GOOGLETRANSLATE(B616,""en"",""zh"")"),"使用密码登录？")</f>
        <v>使用密码登录？</v>
      </c>
      <c r="L616" s="65" t="str">
        <f>IFERROR(__xludf.DUMMYFUNCTION("GOOGLETRANSLATE(B616,""en"",""es"")"),"¿Iniciar sesión con contraseña?")</f>
        <v>¿Iniciar sesión con contraseña?</v>
      </c>
      <c r="M616" s="64" t="str">
        <f>IFERROR(__xludf.DUMMYFUNCTION("GOOGLETRANSLATE(B616,""en"",""iw"")"),"כניסה עם סיסמה?")</f>
        <v>כניסה עם סיסמה?</v>
      </c>
      <c r="N616" s="65" t="str">
        <f>IFERROR(__xludf.DUMMYFUNCTION("GOOGLETRANSLATE(B616,""en"",""bn"")"),"পাসওয়ার্ড দিয়ে সাইন ইন করবেন?")</f>
        <v>পাসওয়ার্ড দিয়ে সাইন ইন করবেন?</v>
      </c>
      <c r="O616" s="4" t="str">
        <f>IFERROR(__xludf.DUMMYFUNCTION("GOOGLETRANSLATE(B616,""en"",""pt"")"),"Entrar com senha?")</f>
        <v>Entrar com senha?</v>
      </c>
    </row>
    <row r="617">
      <c r="A617" s="88" t="s">
        <v>1443</v>
      </c>
      <c r="B617" s="91" t="s">
        <v>1444</v>
      </c>
      <c r="C617" s="64" t="str">
        <f>IFERROR(__xludf.DUMMYFUNCTION("GOOGLETRANSLATE(B617,""en"",""hi"")"),"ओटीपी प्राप्त करें")</f>
        <v>ओटीपी प्राप्त करें</v>
      </c>
      <c r="D617" s="65" t="str">
        <f>IFERROR(__xludf.DUMMYFUNCTION("GOOGLETRANSLATE(B617,""en"",""ar"")"),"احصل على OTP")</f>
        <v>احصل على OTP</v>
      </c>
      <c r="E617" s="65" t="str">
        <f>IFERROR(__xludf.DUMMYFUNCTION("GOOGLETRANSLATE(B617,""en"",""fr"")"),"Obtenir un OTP")</f>
        <v>Obtenir un OTP</v>
      </c>
      <c r="F617" s="65" t="str">
        <f>IFERROR(__xludf.DUMMYFUNCTION("GOOGLETRANSLATE(B617,""en"",""tr"")"),"OTP alın")</f>
        <v>OTP alın</v>
      </c>
      <c r="G617" s="65" t="str">
        <f>IFERROR(__xludf.DUMMYFUNCTION("GOOGLETRANSLATE(B617,""en"",""ru"")"),"Получить одноразовый пароль")</f>
        <v>Получить одноразовый пароль</v>
      </c>
      <c r="H617" s="65" t="str">
        <f>IFERROR(__xludf.DUMMYFUNCTION("GOOGLETRANSLATE(B617,""en"",""it"")"),"Ottieni OTP")</f>
        <v>Ottieni OTP</v>
      </c>
      <c r="I617" s="65" t="str">
        <f>IFERROR(__xludf.DUMMYFUNCTION("GOOGLETRANSLATE(B617,""en"",""de"")"),"OTP erhalten")</f>
        <v>OTP erhalten</v>
      </c>
      <c r="J617" s="65" t="str">
        <f>IFERROR(__xludf.DUMMYFUNCTION("GOOGLETRANSLATE(B617,""en"",""ko"")"),"OTP 받기")</f>
        <v>OTP 받기</v>
      </c>
      <c r="K617" s="65" t="str">
        <f>IFERROR(__xludf.DUMMYFUNCTION("GOOGLETRANSLATE(B617,""en"",""zh"")"),"获取 OTP")</f>
        <v>获取 OTP</v>
      </c>
      <c r="L617" s="65" t="str">
        <f>IFERROR(__xludf.DUMMYFUNCTION("GOOGLETRANSLATE(B617,""en"",""es"")"),"Obtener OTP")</f>
        <v>Obtener OTP</v>
      </c>
      <c r="M617" s="64" t="str">
        <f>IFERROR(__xludf.DUMMYFUNCTION("GOOGLETRANSLATE(B617,""en"",""iw"")"),"קבל OTP")</f>
        <v>קבל OTP</v>
      </c>
      <c r="N617" s="65" t="str">
        <f>IFERROR(__xludf.DUMMYFUNCTION("GOOGLETRANSLATE(B617,""en"",""bn"")"),"OTP পান")</f>
        <v>OTP পান</v>
      </c>
      <c r="O617" s="4" t="str">
        <f>IFERROR(__xludf.DUMMYFUNCTION("GOOGLETRANSLATE(B617,""en"",""pt"")"),"Obtenha OTP")</f>
        <v>Obtenha OTP</v>
      </c>
    </row>
    <row r="618">
      <c r="A618" s="88" t="s">
        <v>1445</v>
      </c>
      <c r="B618" s="91" t="s">
        <v>1446</v>
      </c>
      <c r="C618" s="64" t="str">
        <f>IFERROR(__xludf.DUMMYFUNCTION("GOOGLETRANSLATE(B618,""en"",""hi"")"),"ओटीपी सत्यापित करें")</f>
        <v>ओटीपी सत्यापित करें</v>
      </c>
      <c r="D618" s="65" t="str">
        <f>IFERROR(__xludf.DUMMYFUNCTION("GOOGLETRANSLATE(B618,""en"",""ar"")"),"التحقق من كلمة المرور لمرة واحدة")</f>
        <v>التحقق من كلمة المرور لمرة واحدة</v>
      </c>
      <c r="E618" s="65" t="str">
        <f>IFERROR(__xludf.DUMMYFUNCTION("GOOGLETRANSLATE(B618,""en"",""fr"")"),"Vérifier l'OTP")</f>
        <v>Vérifier l'OTP</v>
      </c>
      <c r="F618" s="65" t="str">
        <f>IFERROR(__xludf.DUMMYFUNCTION("GOOGLETRANSLATE(B618,""en"",""tr"")"),"OTP'yi doğrulayın")</f>
        <v>OTP'yi doğrulayın</v>
      </c>
      <c r="G618" s="65" t="str">
        <f>IFERROR(__xludf.DUMMYFUNCTION("GOOGLETRANSLATE(B618,""en"",""ru"")"),"Проверить одноразовый пароль")</f>
        <v>Проверить одноразовый пароль</v>
      </c>
      <c r="H618" s="65" t="str">
        <f>IFERROR(__xludf.DUMMYFUNCTION("GOOGLETRANSLATE(B618,""en"",""it"")"),"Verifica OTP")</f>
        <v>Verifica OTP</v>
      </c>
      <c r="I618" s="65" t="str">
        <f>IFERROR(__xludf.DUMMYFUNCTION("GOOGLETRANSLATE(B618,""en"",""de"")"),"OTP überprüfen")</f>
        <v>OTP überprüfen</v>
      </c>
      <c r="J618" s="65" t="str">
        <f>IFERROR(__xludf.DUMMYFUNCTION("GOOGLETRANSLATE(B618,""en"",""ko"")"),"OTP 확인")</f>
        <v>OTP 확인</v>
      </c>
      <c r="K618" s="65" t="str">
        <f>IFERROR(__xludf.DUMMYFUNCTION("GOOGLETRANSLATE(B618,""en"",""zh"")"),"验证 OTP")</f>
        <v>验证 OTP</v>
      </c>
      <c r="L618" s="65" t="str">
        <f>IFERROR(__xludf.DUMMYFUNCTION("GOOGLETRANSLATE(B618,""en"",""es"")"),"Verificar OTP")</f>
        <v>Verificar OTP</v>
      </c>
      <c r="M618" s="64" t="str">
        <f>IFERROR(__xludf.DUMMYFUNCTION("GOOGLETRANSLATE(B618,""en"",""iw"")"),"אמת OTP")</f>
        <v>אמת OTP</v>
      </c>
      <c r="N618" s="65" t="str">
        <f>IFERROR(__xludf.DUMMYFUNCTION("GOOGLETRANSLATE(B618,""en"",""bn"")"),"OTP যাচাই করুন")</f>
        <v>OTP যাচাই করুন</v>
      </c>
      <c r="O618" s="4" t="str">
        <f>IFERROR(__xludf.DUMMYFUNCTION("GOOGLETRANSLATE(B618,""en"",""pt"")"),"Verificar OTP")</f>
        <v>Verificar OTP</v>
      </c>
    </row>
    <row r="619">
      <c r="A619" s="88" t="s">
        <v>1447</v>
      </c>
      <c r="B619" s="91" t="s">
        <v>1448</v>
      </c>
      <c r="C619" s="64" t="str">
        <f>IFERROR(__xludf.DUMMYFUNCTION("GOOGLETRANSLATE(B619,""en"",""hi"")"),"मोबाइल सत्यापित करें")</f>
        <v>मोबाइल सत्यापित करें</v>
      </c>
      <c r="D619" s="65" t="str">
        <f>IFERROR(__xludf.DUMMYFUNCTION("GOOGLETRANSLATE(B619,""en"",""ar"")"),"التحقق من الهاتف المحمول")</f>
        <v>التحقق من الهاتف المحمول</v>
      </c>
      <c r="E619" s="65" t="str">
        <f>IFERROR(__xludf.DUMMYFUNCTION("GOOGLETRANSLATE(B619,""en"",""fr"")"),"Vérifier le mobile")</f>
        <v>Vérifier le mobile</v>
      </c>
      <c r="F619" s="65" t="str">
        <f>IFERROR(__xludf.DUMMYFUNCTION("GOOGLETRANSLATE(B619,""en"",""tr"")"),"Mobil Doğrulama")</f>
        <v>Mobil Doğrulama</v>
      </c>
      <c r="G619" s="65" t="str">
        <f>IFERROR(__xludf.DUMMYFUNCTION("GOOGLETRANSLATE(B619,""en"",""ru"")"),"Проверить мобильный")</f>
        <v>Проверить мобильный</v>
      </c>
      <c r="H619" s="65" t="str">
        <f>IFERROR(__xludf.DUMMYFUNCTION("GOOGLETRANSLATE(B619,""en"",""it"")"),"Verifica cellulare")</f>
        <v>Verifica cellulare</v>
      </c>
      <c r="I619" s="65" t="str">
        <f>IFERROR(__xludf.DUMMYFUNCTION("GOOGLETRANSLATE(B619,""en"",""de"")"),"Mobile verifizieren")</f>
        <v>Mobile verifizieren</v>
      </c>
      <c r="J619" s="65" t="str">
        <f>IFERROR(__xludf.DUMMYFUNCTION("GOOGLETRANSLATE(B619,""en"",""ko"")"),"모바일 확인")</f>
        <v>모바일 확인</v>
      </c>
      <c r="K619" s="65" t="str">
        <f>IFERROR(__xludf.DUMMYFUNCTION("GOOGLETRANSLATE(B619,""en"",""zh"")"),"验证手机")</f>
        <v>验证手机</v>
      </c>
      <c r="L619" s="65" t="str">
        <f>IFERROR(__xludf.DUMMYFUNCTION("GOOGLETRANSLATE(B619,""en"",""es"")"),"Verificar móvil")</f>
        <v>Verificar móvil</v>
      </c>
      <c r="M619" s="64" t="str">
        <f>IFERROR(__xludf.DUMMYFUNCTION("GOOGLETRANSLATE(B619,""en"",""iw"")"),"אמת נייד")</f>
        <v>אמת נייד</v>
      </c>
      <c r="N619" s="65" t="str">
        <f>IFERROR(__xludf.DUMMYFUNCTION("GOOGLETRANSLATE(B619,""en"",""bn"")"),"মোবাইল যাচাই করুন")</f>
        <v>মোবাইল যাচাই করুন</v>
      </c>
      <c r="O619" s="4" t="str">
        <f>IFERROR(__xludf.DUMMYFUNCTION("GOOGLETRANSLATE(B619,""en"",""pt"")"),"Verificar celular")</f>
        <v>Verificar celular</v>
      </c>
    </row>
    <row r="620">
      <c r="A620" s="88" t="s">
        <v>1449</v>
      </c>
      <c r="B620" s="91" t="s">
        <v>1450</v>
      </c>
      <c r="C620" s="64" t="str">
        <f>IFERROR(__xludf.DUMMYFUNCTION("GOOGLETRANSLATE(B620,""en"",""hi"")"),"1111 पर OTP पुनः भेजें")</f>
        <v>1111 पर OTP पुनः भेजें</v>
      </c>
      <c r="D620" s="65" t="str">
        <f>IFERROR(__xludf.DUMMYFUNCTION("GOOGLETRANSLATE(B620,""en"",""ar"")"),"إعادة إرسال OTP في 1111")</f>
        <v>إعادة إرسال OTP في 1111</v>
      </c>
      <c r="E620" s="65" t="str">
        <f>IFERROR(__xludf.DUMMYFUNCTION("GOOGLETRANSLATE(B620,""en"",""fr"")"),"Renvoyer l'OTP en 1111")</f>
        <v>Renvoyer l'OTP en 1111</v>
      </c>
      <c r="F620" s="65" t="str">
        <f>IFERROR(__xludf.DUMMYFUNCTION("GOOGLETRANSLATE(B620,""en"",""tr"")"),"OTP'yi 1111'e yeniden gönder")</f>
        <v>OTP'yi 1111'e yeniden gönder</v>
      </c>
      <c r="G620" s="65" t="str">
        <f>IFERROR(__xludf.DUMMYFUNCTION("GOOGLETRANSLATE(B620,""en"",""ru"")"),"Повторно отправить одноразовый пароль в 1111")</f>
        <v>Повторно отправить одноразовый пароль в 1111</v>
      </c>
      <c r="H620" s="65" t="str">
        <f>IFERROR(__xludf.DUMMYFUNCTION("GOOGLETRANSLATE(B620,""en"",""it"")"),"Invia nuovamente OTP in 1111")</f>
        <v>Invia nuovamente OTP in 1111</v>
      </c>
      <c r="I620" s="65" t="str">
        <f>IFERROR(__xludf.DUMMYFUNCTION("GOOGLETRANSLATE(B620,""en"",""de"")"),"OTP erneut senden in 1111")</f>
        <v>OTP erneut senden in 1111</v>
      </c>
      <c r="J620" s="65" t="str">
        <f>IFERROR(__xludf.DUMMYFUNCTION("GOOGLETRANSLATE(B620,""en"",""ko"")"),"1111에서 OTP 재전송")</f>
        <v>1111에서 OTP 재전송</v>
      </c>
      <c r="K620" s="65" t="str">
        <f>IFERROR(__xludf.DUMMYFUNCTION("GOOGLETRANSLATE(B620,""en"",""zh"")"),"以 1111 重新发送 OTP")</f>
        <v>以 1111 重新发送 OTP</v>
      </c>
      <c r="L620" s="65" t="str">
        <f>IFERROR(__xludf.DUMMYFUNCTION("GOOGLETRANSLATE(B620,""en"",""es"")"),"Reenviar OTP en 1111")</f>
        <v>Reenviar OTP en 1111</v>
      </c>
      <c r="M620" s="64" t="str">
        <f>IFERROR(__xludf.DUMMYFUNCTION("GOOGLETRANSLATE(B620,""en"",""iw"")"),"שלח שוב OTP ב-1111")</f>
        <v>שלח שוב OTP ב-1111</v>
      </c>
      <c r="N620" s="65" t="str">
        <f>IFERROR(__xludf.DUMMYFUNCTION("GOOGLETRANSLATE(B620,""en"",""bn"")"),"1111 এ আবার ওটিপি পাঠান")</f>
        <v>1111 এ আবার ওটিপি পাঠান</v>
      </c>
      <c r="O620" s="4" t="str">
        <f>IFERROR(__xludf.DUMMYFUNCTION("GOOGLETRANSLATE(B620,""en"",""pt"")"),"Reenviar OTP em 1111")</f>
        <v>Reenviar OTP em 1111</v>
      </c>
    </row>
    <row r="621">
      <c r="A621" s="88" t="s">
        <v>1451</v>
      </c>
      <c r="B621" s="91" t="s">
        <v>1452</v>
      </c>
      <c r="C621" s="64" t="str">
        <f>IFERROR(__xludf.DUMMYFUNCTION("GOOGLETRANSLATE(B621,""en"",""hi"")"),"5555 में आपका स्वागत है!")</f>
        <v>5555 में आपका स्वागत है!</v>
      </c>
      <c r="D621" s="65" t="str">
        <f>IFERROR(__xludf.DUMMYFUNCTION("GOOGLETRANSLATE(B621,""en"",""ar"")"),"مرحباً بكم في 5555!")</f>
        <v>مرحباً بكم في 5555!</v>
      </c>
      <c r="E621" s="65" t="str">
        <f>IFERROR(__xludf.DUMMYFUNCTION("GOOGLETRANSLATE(B621,""en"",""fr"")"),"Bienvenue au 5555 !")</f>
        <v>Bienvenue au 5555 !</v>
      </c>
      <c r="F621" s="65" t="str">
        <f>IFERROR(__xludf.DUMMYFUNCTION("GOOGLETRANSLATE(B621,""en"",""tr"")"),"5555'e hoş geldiniz!")</f>
        <v>5555'e hoş geldiniz!</v>
      </c>
      <c r="G621" s="65" t="str">
        <f>IFERROR(__xludf.DUMMYFUNCTION("GOOGLETRANSLATE(B621,""en"",""ru"")"),"Добро пожаловать в 5555!")</f>
        <v>Добро пожаловать в 5555!</v>
      </c>
      <c r="H621" s="65" t="str">
        <f>IFERROR(__xludf.DUMMYFUNCTION("GOOGLETRANSLATE(B621,""en"",""it"")"),"Benvenuti al 5555!")</f>
        <v>Benvenuti al 5555!</v>
      </c>
      <c r="I621" s="65" t="str">
        <f>IFERROR(__xludf.DUMMYFUNCTION("GOOGLETRANSLATE(B621,""en"",""de"")"),"Willkommen bei 5555!")</f>
        <v>Willkommen bei 5555!</v>
      </c>
      <c r="J621" s="65" t="str">
        <f>IFERROR(__xludf.DUMMYFUNCTION("GOOGLETRANSLATE(B621,""en"",""ko"")"),"5555에 오신 것을 환영합니다!")</f>
        <v>5555에 오신 것을 환영합니다!</v>
      </c>
      <c r="K621" s="65" t="str">
        <f>IFERROR(__xludf.DUMMYFUNCTION("GOOGLETRANSLATE(B621,""en"",""zh"")"),"欢迎来到5555！")</f>
        <v>欢迎来到5555！</v>
      </c>
      <c r="L621" s="65" t="str">
        <f>IFERROR(__xludf.DUMMYFUNCTION("GOOGLETRANSLATE(B621,""en"",""es"")"),"¡Bienvenido a 5555!")</f>
        <v>¡Bienvenido a 5555!</v>
      </c>
      <c r="M621" s="64" t="str">
        <f>IFERROR(__xludf.DUMMYFUNCTION("GOOGLETRANSLATE(B621,""en"",""iw"")"),"ברוכים הבאים ל-5555!")</f>
        <v>ברוכים הבאים ל-5555!</v>
      </c>
      <c r="N621" s="65" t="str">
        <f>IFERROR(__xludf.DUMMYFUNCTION("GOOGLETRANSLATE(B621,""en"",""bn"")"),"5555 এ স্বাগতম!")</f>
        <v>5555 এ স্বাগতম!</v>
      </c>
      <c r="O621" s="4" t="str">
        <f>IFERROR(__xludf.DUMMYFUNCTION("GOOGLETRANSLATE(B621,""en"",""pt"")"),"Bem-vindo ao 5555!")</f>
        <v>Bem-vindo ao 5555!</v>
      </c>
    </row>
    <row r="622">
      <c r="A622" s="88" t="s">
        <v>1453</v>
      </c>
      <c r="B622" s="91" t="s">
        <v>1454</v>
      </c>
      <c r="C622" s="64" t="str">
        <f>IFERROR(__xludf.DUMMYFUNCTION("GOOGLETRANSLATE(B622,""en"",""hi"")"),"कैप्टन 2 मिनट में आ जायेंगे, उनसे मिलने के लिए तैयार रहें")</f>
        <v>कैप्टन 2 मिनट में आ जायेंगे, उनसे मिलने के लिए तैयार रहें</v>
      </c>
      <c r="D622" s="65" t="str">
        <f>IFERROR(__xludf.DUMMYFUNCTION("GOOGLETRANSLATE(B622,""en"",""ar"")"),"سيصل القبطان خلال دقيقتين كن مستعدًا لمقابلته")</f>
        <v>سيصل القبطان خلال دقيقتين كن مستعدًا لمقابلته</v>
      </c>
      <c r="E622" s="65" t="str">
        <f>IFERROR(__xludf.DUMMYFUNCTION("GOOGLETRANSLATE(B622,""en"",""fr"")"),"Le capitaine arrivera dans 2 minutes, soyez prêt à le rencontrer")</f>
        <v>Le capitaine arrivera dans 2 minutes, soyez prêt à le rencontrer</v>
      </c>
      <c r="F622" s="65" t="str">
        <f>IFERROR(__xludf.DUMMYFUNCTION("GOOGLETRANSLATE(B622,""en"",""tr"")"),"Kaptan 2 dakika içinde gelecek, onu karşılamaya hazır olun.")</f>
        <v>Kaptan 2 dakika içinde gelecek, onu karşılamaya hazır olun.</v>
      </c>
      <c r="G622" s="65" t="str">
        <f>IFERROR(__xludf.DUMMYFUNCTION("GOOGLETRANSLATE(B622,""en"",""ru"")"),"Капитан прибудет в течение 2 минут, будьте готовы его встретить.")</f>
        <v>Капитан прибудет в течение 2 минут, будьте готовы его встретить.</v>
      </c>
      <c r="H622" s="65" t="str">
        <f>IFERROR(__xludf.DUMMYFUNCTION("GOOGLETRANSLATE(B622,""en"",""it"")"),"Il capitano arriverà entro 2 minuti, sii pronto ad incontrarlo")</f>
        <v>Il capitano arriverà entro 2 minuti, sii pronto ad incontrarlo</v>
      </c>
      <c r="I622" s="65" t="str">
        <f>IFERROR(__xludf.DUMMYFUNCTION("GOOGLETRANSLATE(B622,""en"",""de"")"),"Der Kapitän wird innerhalb von 2 Minuten eintreffen. Seien Sie bereit, ihn zu treffen")</f>
        <v>Der Kapitän wird innerhalb von 2 Minuten eintreffen. Seien Sie bereit, ihn zu treffen</v>
      </c>
      <c r="J622" s="65" t="str">
        <f>IFERROR(__xludf.DUMMYFUNCTION("GOOGLETRANSLATE(B622,""en"",""ko"")"),"선장은 2분 이내에 도착하여 그를 만날 준비를 할 것입니다.")</f>
        <v>선장은 2분 이내에 도착하여 그를 만날 준비를 할 것입니다.</v>
      </c>
      <c r="K622" s="65" t="str">
        <f>IFERROR(__xludf.DUMMYFUNCTION("GOOGLETRANSLATE(B622,""en"",""zh"")"),"船长将在2分钟内到达，准备迎接他")</f>
        <v>船长将在2分钟内到达，准备迎接他</v>
      </c>
      <c r="L622" s="65" t="str">
        <f>IFERROR(__xludf.DUMMYFUNCTION("GOOGLETRANSLATE(B622,""en"",""es"")"),"El capitán llegará en 2 minutos. Prepárate para recibirlo.")</f>
        <v>El capitán llegará en 2 minutos. Prepárate para recibirlo.</v>
      </c>
      <c r="M622" s="64" t="str">
        <f>IFERROR(__xludf.DUMMYFUNCTION("GOOGLETRANSLATE(B622,""en"",""iw"")"),"הקפטן יגיע תוך 2 דקות מוכן לפגוש אותו")</f>
        <v>הקפטן יגיע תוך 2 דקות מוכן לפגוש אותו</v>
      </c>
      <c r="N622" s="65" t="str">
        <f>IFERROR(__xludf.DUMMYFUNCTION("GOOGLETRANSLATE(B622,""en"",""bn"")"),"2 মিনিটের মধ্যে ক্যাপ্টেন আসবেন তার সাথে দেখা করার জন্য প্রস্তুত থাকুন")</f>
        <v>2 মিনিটের মধ্যে ক্যাপ্টেন আসবেন তার সাথে দেখা করার জন্য প্রস্তুত থাকুন</v>
      </c>
      <c r="O622" s="4" t="str">
        <f>IFERROR(__xludf.DUMMYFUNCTION("GOOGLETRANSLATE(B622,""en"",""pt"")"),"O capitão chegará em 2 minutos, esteja pronto para recebê-lo")</f>
        <v>O capitão chegará em 2 minutos, esteja pronto para recebê-lo</v>
      </c>
    </row>
    <row r="623">
      <c r="A623" s="88" t="s">
        <v>1455</v>
      </c>
      <c r="B623" s="91" t="s">
        <v>1456</v>
      </c>
      <c r="C623" s="64" t="str">
        <f>IFERROR(__xludf.DUMMYFUNCTION("GOOGLETRANSLATE(B623,""en"",""hi"")"),"1111 मिनट में गंतव्य तक पहुँचना")</f>
        <v>1111 मिनट में गंतव्य तक पहुँचना</v>
      </c>
      <c r="D623" s="65" t="str">
        <f>IFERROR(__xludf.DUMMYFUNCTION("GOOGLETRANSLATE(B623,""en"",""ar"")"),"الوصول إلى الوجهة في 1111 دقيقة")</f>
        <v>الوصول إلى الوجهة في 1111 دقيقة</v>
      </c>
      <c r="E623" s="65" t="str">
        <f>IFERROR(__xludf.DUMMYFUNCTION("GOOGLETRANSLATE(B623,""en"",""fr"")"),"Arrivée à destination en 1111 minutes")</f>
        <v>Arrivée à destination en 1111 minutes</v>
      </c>
      <c r="F623" s="65" t="str">
        <f>IFERROR(__xludf.DUMMYFUNCTION("GOOGLETRANSLATE(B623,""en"",""tr"")"),"Hedefe 1111 dakikada ulaşılıyor")</f>
        <v>Hedefe 1111 dakikada ulaşılıyor</v>
      </c>
      <c r="G623" s="65" t="str">
        <f>IFERROR(__xludf.DUMMYFUNCTION("GOOGLETRANSLATE(B623,""en"",""ru"")"),"Достижение пункта назначения через 1111 мин.")</f>
        <v>Достижение пункта назначения через 1111 мин.</v>
      </c>
      <c r="H623" s="65" t="str">
        <f>IFERROR(__xludf.DUMMYFUNCTION("GOOGLETRANSLATE(B623,""en"",""it"")"),"Raggiungimento della destinazione in 1111 minuti")</f>
        <v>Raggiungimento della destinazione in 1111 minuti</v>
      </c>
      <c r="I623" s="65" t="str">
        <f>IFERROR(__xludf.DUMMYFUNCTION("GOOGLETRANSLATE(B623,""en"",""de"")"),"Ziel in 1111 Minuten erreicht")</f>
        <v>Ziel in 1111 Minuten erreicht</v>
      </c>
      <c r="J623" s="65" t="str">
        <f>IFERROR(__xludf.DUMMYFUNCTION("GOOGLETRANSLATE(B623,""en"",""ko"")"),"1111분 만에 목적지 도착")</f>
        <v>1111분 만에 목적지 도착</v>
      </c>
      <c r="K623" s="65" t="str">
        <f>IFERROR(__xludf.DUMMYFUNCTION("GOOGLETRANSLATE(B623,""en"",""zh"")"),"1111分钟后到达目的地")</f>
        <v>1111分钟后到达目的地</v>
      </c>
      <c r="L623" s="65" t="str">
        <f>IFERROR(__xludf.DUMMYFUNCTION("GOOGLETRANSLATE(B623,""en"",""es"")"),"Llegando a destino en 1111 minutos")</f>
        <v>Llegando a destino en 1111 minutos</v>
      </c>
      <c r="M623" s="64" t="str">
        <f>IFERROR(__xludf.DUMMYFUNCTION("GOOGLETRANSLATE(B623,""en"",""iw"")"),"הגעה ליעד תוך 1111 דקות")</f>
        <v>הגעה ליעד תוך 1111 דקות</v>
      </c>
      <c r="N623" s="65" t="str">
        <f>IFERROR(__xludf.DUMMYFUNCTION("GOOGLETRANSLATE(B623,""en"",""bn"")"),"1111 মিনিটে গন্তব্যে পৌঁছানো")</f>
        <v>1111 মিনিটে গন্তব্যে পৌঁছানো</v>
      </c>
      <c r="O623" s="4" t="str">
        <f>IFERROR(__xludf.DUMMYFUNCTION("GOOGLETRANSLATE(B623,""en"",""pt"")"),"Chegando ao destino em 1111 minutos")</f>
        <v>Chegando ao destino em 1111 minutos</v>
      </c>
    </row>
    <row r="624">
      <c r="A624" s="88" t="s">
        <v>1457</v>
      </c>
      <c r="B624" s="91" t="s">
        <v>1458</v>
      </c>
      <c r="C624" s="64" t="str">
        <f>IFERROR(__xludf.DUMMYFUNCTION("GOOGLETRANSLATE(B624,""en"",""hi"")"),"मेरा नाम और मोबाइल नंबर का उपयोग करें")</f>
        <v>मेरा नाम और मोबाइल नंबर का उपयोग करें</v>
      </c>
      <c r="D624" s="65" t="str">
        <f>IFERROR(__xludf.DUMMYFUNCTION("GOOGLETRANSLATE(B624,""en"",""ar"")"),"استخدم اسمي ورقم جوالي")</f>
        <v>استخدم اسمي ورقم جوالي</v>
      </c>
      <c r="E624" s="65" t="str">
        <f>IFERROR(__xludf.DUMMYFUNCTION("GOOGLETRANSLATE(B624,""en"",""fr"")"),"Utilisez mon nom et mon numéro de portable")</f>
        <v>Utilisez mon nom et mon numéro de portable</v>
      </c>
      <c r="F624" s="65" t="str">
        <f>IFERROR(__xludf.DUMMYFUNCTION("GOOGLETRANSLATE(B624,""en"",""tr"")"),"Adımı ve Cep Telefonu Numaramı Kullan")</f>
        <v>Adımı ve Cep Telefonu Numaramı Kullan</v>
      </c>
      <c r="G624" s="65" t="str">
        <f>IFERROR(__xludf.DUMMYFUNCTION("GOOGLETRANSLATE(B624,""en"",""ru"")"),"Использовать мое имя и номер мобильного телефона")</f>
        <v>Использовать мое имя и номер мобильного телефона</v>
      </c>
      <c r="H624" s="65" t="str">
        <f>IFERROR(__xludf.DUMMYFUNCTION("GOOGLETRANSLATE(B624,""en"",""it"")"),"Usa il mio nome e numero di cellulare")</f>
        <v>Usa il mio nome e numero di cellulare</v>
      </c>
      <c r="I624" s="65" t="str">
        <f>IFERROR(__xludf.DUMMYFUNCTION("GOOGLETRANSLATE(B624,""en"",""de"")"),"Meinen Namen und meine Handynummer verwenden")</f>
        <v>Meinen Namen und meine Handynummer verwenden</v>
      </c>
      <c r="J624" s="65" t="str">
        <f>IFERROR(__xludf.DUMMYFUNCTION("GOOGLETRANSLATE(B624,""en"",""ko"")"),"내 이름과 휴대폰 번호 사용")</f>
        <v>내 이름과 휴대폰 번호 사용</v>
      </c>
      <c r="K624" s="65" t="str">
        <f>IFERROR(__xludf.DUMMYFUNCTION("GOOGLETRANSLATE(B624,""en"",""zh"")"),"使用我的姓名和手机号码")</f>
        <v>使用我的姓名和手机号码</v>
      </c>
      <c r="L624" s="65" t="str">
        <f>IFERROR(__xludf.DUMMYFUNCTION("GOOGLETRANSLATE(B624,""en"",""es"")"),"Utilice mi nombre y número de móvil")</f>
        <v>Utilice mi nombre y número de móvil</v>
      </c>
      <c r="M624" s="64" t="str">
        <f>IFERROR(__xludf.DUMMYFUNCTION("GOOGLETRANSLATE(B624,""en"",""iw"")"),"השתמש בשם ובמספר הנייד שלי")</f>
        <v>השתמש בשם ובמספר הנייד שלי</v>
      </c>
      <c r="N624" s="65" t="str">
        <f>IFERROR(__xludf.DUMMYFUNCTION("GOOGLETRANSLATE(B624,""en"",""bn"")"),"আমার নাম এবং মোবাইল নম্বর ব্যবহার করুন")</f>
        <v>আমার নাম এবং মোবাইল নম্বর ব্যবহার করুন</v>
      </c>
      <c r="O624" s="4" t="str">
        <f>IFERROR(__xludf.DUMMYFUNCTION("GOOGLETRANSLATE(B624,""en"",""pt"")"),"Use meu nome e número de celular")</f>
        <v>Use meu nome e número de celular</v>
      </c>
    </row>
    <row r="625">
      <c r="A625" s="88" t="s">
        <v>1459</v>
      </c>
      <c r="B625" s="91" t="s">
        <v>1460</v>
      </c>
      <c r="C625" s="64" t="str">
        <f>IFERROR(__xludf.DUMMYFUNCTION("GOOGLETRANSLATE(B625,""en"",""hi"")"),"उपयोगकर्ता डेटा दें")</f>
        <v>उपयोगकर्ता डेटा दें</v>
      </c>
      <c r="D625" s="65" t="str">
        <f>IFERROR(__xludf.DUMMYFUNCTION("GOOGLETRANSLATE(B625,""en"",""ar"")"),"إعطاء بيانات المستخدم")</f>
        <v>إعطاء بيانات المستخدم</v>
      </c>
      <c r="E625" s="65" t="str">
        <f>IFERROR(__xludf.DUMMYFUNCTION("GOOGLETRANSLATE(B625,""en"",""fr"")"),"Fournir des données utilisateur")</f>
        <v>Fournir des données utilisateur</v>
      </c>
      <c r="F625" s="65" t="str">
        <f>IFERROR(__xludf.DUMMYFUNCTION("GOOGLETRANSLATE(B625,""en"",""tr"")"),"Kullanıcı Verilerini Verin")</f>
        <v>Kullanıcı Verilerini Verin</v>
      </c>
      <c r="G625" s="65" t="str">
        <f>IFERROR(__xludf.DUMMYFUNCTION("GOOGLETRANSLATE(B625,""en"",""ru"")"),"Предоставить данные пользователя")</f>
        <v>Предоставить данные пользователя</v>
      </c>
      <c r="H625" s="65" t="str">
        <f>IFERROR(__xludf.DUMMYFUNCTION("GOOGLETRANSLATE(B625,""en"",""it"")"),"Fornisci dati utente")</f>
        <v>Fornisci dati utente</v>
      </c>
      <c r="I625" s="65" t="str">
        <f>IFERROR(__xludf.DUMMYFUNCTION("GOOGLETRANSLATE(B625,""en"",""de"")"),"Benutzerdaten angeben")</f>
        <v>Benutzerdaten angeben</v>
      </c>
      <c r="J625" s="65" t="str">
        <f>IFERROR(__xludf.DUMMYFUNCTION("GOOGLETRANSLATE(B625,""en"",""ko"")"),"사용자 데이터 제공")</f>
        <v>사용자 데이터 제공</v>
      </c>
      <c r="K625" s="65" t="str">
        <f>IFERROR(__xludf.DUMMYFUNCTION("GOOGLETRANSLATE(B625,""en"",""zh"")"),"提供用户数据")</f>
        <v>提供用户数据</v>
      </c>
      <c r="L625" s="65" t="str">
        <f>IFERROR(__xludf.DUMMYFUNCTION("GOOGLETRANSLATE(B625,""en"",""es"")"),"Proporcionar datos de usuario")</f>
        <v>Proporcionar datos de usuario</v>
      </c>
      <c r="M625" s="64" t="str">
        <f>IFERROR(__xludf.DUMMYFUNCTION("GOOGLETRANSLATE(B625,""en"",""iw"")"),"תן נתוני משתמש")</f>
        <v>תן נתוני משתמש</v>
      </c>
      <c r="N625" s="65" t="str">
        <f>IFERROR(__xludf.DUMMYFUNCTION("GOOGLETRANSLATE(B625,""en"",""bn"")"),"ব্যবহারকারীর ডেটা দিন")</f>
        <v>ব্যবহারকারীর ডেটা দিন</v>
      </c>
      <c r="O625" s="4" t="str">
        <f>IFERROR(__xludf.DUMMYFUNCTION("GOOGLETRANSLATE(B625,""en"",""pt"")"),"Fornecer dados do usuário")</f>
        <v>Fornecer dados do usuário</v>
      </c>
    </row>
    <row r="626">
      <c r="A626" s="88" t="s">
        <v>1461</v>
      </c>
      <c r="B626" s="91" t="s">
        <v>1462</v>
      </c>
      <c r="C626" s="64" t="str">
        <f>IFERROR(__xludf.DUMMYFUNCTION("GOOGLETRANSLATE(B626,""en"",""hi"")"),"पैकेज चुनें")</f>
        <v>पैकेज चुनें</v>
      </c>
      <c r="D626" s="65" t="str">
        <f>IFERROR(__xludf.DUMMYFUNCTION("GOOGLETRANSLATE(B626,""en"",""ar"")"),"اختر الباقة")</f>
        <v>اختر الباقة</v>
      </c>
      <c r="E626" s="65" t="str">
        <f>IFERROR(__xludf.DUMMYFUNCTION("GOOGLETRANSLATE(B626,""en"",""fr"")"),"Sélectionnez le forfait")</f>
        <v>Sélectionnez le forfait</v>
      </c>
      <c r="F626" s="65" t="str">
        <f>IFERROR(__xludf.DUMMYFUNCTION("GOOGLETRANSLATE(B626,""en"",""tr"")"),"Paket Seçin")</f>
        <v>Paket Seçin</v>
      </c>
      <c r="G626" s="65" t="str">
        <f>IFERROR(__xludf.DUMMYFUNCTION("GOOGLETRANSLATE(B626,""en"",""ru"")"),"Выбрать пакет")</f>
        <v>Выбрать пакет</v>
      </c>
      <c r="H626" s="65" t="str">
        <f>IFERROR(__xludf.DUMMYFUNCTION("GOOGLETRANSLATE(B626,""en"",""it"")"),"Seleziona pacchetto")</f>
        <v>Seleziona pacchetto</v>
      </c>
      <c r="I626" s="65" t="str">
        <f>IFERROR(__xludf.DUMMYFUNCTION("GOOGLETRANSLATE(B626,""en"",""de"")"),"Paket auswählen")</f>
        <v>Paket auswählen</v>
      </c>
      <c r="J626" s="65" t="str">
        <f>IFERROR(__xludf.DUMMYFUNCTION("GOOGLETRANSLATE(B626,""en"",""ko"")"),"패키지 선택")</f>
        <v>패키지 선택</v>
      </c>
      <c r="K626" s="65" t="str">
        <f>IFERROR(__xludf.DUMMYFUNCTION("GOOGLETRANSLATE(B626,""en"",""zh"")"),"选择套餐")</f>
        <v>选择套餐</v>
      </c>
      <c r="L626" s="65" t="str">
        <f>IFERROR(__xludf.DUMMYFUNCTION("GOOGLETRANSLATE(B626,""en"",""es"")"),"Seleccionar paquete")</f>
        <v>Seleccionar paquete</v>
      </c>
      <c r="M626" s="64" t="str">
        <f>IFERROR(__xludf.DUMMYFUNCTION("GOOGLETRANSLATE(B626,""en"",""iw"")"),"בחר חבילה")</f>
        <v>בחר חבילה</v>
      </c>
      <c r="N626" s="65" t="str">
        <f>IFERROR(__xludf.DUMMYFUNCTION("GOOGLETRANSLATE(B626,""en"",""bn"")"),"প্যাকেজ নির্বাচন করুন")</f>
        <v>প্যাকেজ নির্বাচন করুন</v>
      </c>
      <c r="O626" s="4" t="str">
        <f>IFERROR(__xludf.DUMMYFUNCTION("GOOGLETRANSLATE(B626,""en"",""pt"")"),"Selecione o pacote")</f>
        <v>Selecione o pacote</v>
      </c>
    </row>
    <row r="627">
      <c r="A627" s="88" t="s">
        <v>1463</v>
      </c>
      <c r="B627" s="91" t="s">
        <v>1464</v>
      </c>
      <c r="C627" s="64" t="str">
        <f>IFERROR(__xludf.DUMMYFUNCTION("GOOGLETRANSLATE(B627,""en"",""hi"")"),"नया पासवर्ड दर्ज करें")</f>
        <v>नया पासवर्ड दर्ज करें</v>
      </c>
      <c r="D627" s="65" t="str">
        <f>IFERROR(__xludf.DUMMYFUNCTION("GOOGLETRANSLATE(B627,""en"",""ar"")"),"أدخل كلمة المرور الجديدة")</f>
        <v>أدخل كلمة المرور الجديدة</v>
      </c>
      <c r="E627" s="65" t="str">
        <f>IFERROR(__xludf.DUMMYFUNCTION("GOOGLETRANSLATE(B627,""en"",""fr"")"),"Entrez un nouveau mot de passe")</f>
        <v>Entrez un nouveau mot de passe</v>
      </c>
      <c r="F627" s="65" t="str">
        <f>IFERROR(__xludf.DUMMYFUNCTION("GOOGLETRANSLATE(B627,""en"",""tr"")"),"Yeni Şifreyi Girin")</f>
        <v>Yeni Şifreyi Girin</v>
      </c>
      <c r="G627" s="65" t="str">
        <f>IFERROR(__xludf.DUMMYFUNCTION("GOOGLETRANSLATE(B627,""en"",""ru"")"),"Введите новый пароль")</f>
        <v>Введите новый пароль</v>
      </c>
      <c r="H627" s="65" t="str">
        <f>IFERROR(__xludf.DUMMYFUNCTION("GOOGLETRANSLATE(B627,""en"",""it"")"),"Inserisci la nuova password")</f>
        <v>Inserisci la nuova password</v>
      </c>
      <c r="I627" s="65" t="str">
        <f>IFERROR(__xludf.DUMMYFUNCTION("GOOGLETRANSLATE(B627,""en"",""de"")"),"Neues Passwort eingeben")</f>
        <v>Neues Passwort eingeben</v>
      </c>
      <c r="J627" s="65" t="str">
        <f>IFERROR(__xludf.DUMMYFUNCTION("GOOGLETRANSLATE(B627,""en"",""ko"")"),"새 비밀번호를 입력하세요")</f>
        <v>새 비밀번호를 입력하세요</v>
      </c>
      <c r="K627" s="65" t="str">
        <f>IFERROR(__xludf.DUMMYFUNCTION("GOOGLETRANSLATE(B627,""en"",""zh"")"),"输入新密码")</f>
        <v>输入新密码</v>
      </c>
      <c r="L627" s="65" t="str">
        <f>IFERROR(__xludf.DUMMYFUNCTION("GOOGLETRANSLATE(B627,""en"",""es"")"),"Introducir nueva contraseña")</f>
        <v>Introducir nueva contraseña</v>
      </c>
      <c r="M627" s="64" t="str">
        <f>IFERROR(__xludf.DUMMYFUNCTION("GOOGLETRANSLATE(B627,""en"",""iw"")"),"הזן סיסמה חדשה")</f>
        <v>הזן סיסמה חדשה</v>
      </c>
      <c r="N627" s="65" t="str">
        <f>IFERROR(__xludf.DUMMYFUNCTION("GOOGLETRANSLATE(B627,""en"",""bn"")"),"নতুন পাসওয়ার্ড দিন")</f>
        <v>নতুন পাসওয়ার্ড দিন</v>
      </c>
      <c r="O627" s="4" t="str">
        <f>IFERROR(__xludf.DUMMYFUNCTION("GOOGLETRANSLATE(B627,""en"",""pt"")"),"Digite uma nova senha")</f>
        <v>Digite uma nova senha</v>
      </c>
    </row>
    <row r="628">
      <c r="A628" s="88" t="s">
        <v>1465</v>
      </c>
      <c r="B628" s="91" t="s">
        <v>1466</v>
      </c>
      <c r="C628" s="64" t="str">
        <f>IFERROR(__xludf.DUMMYFUNCTION("GOOGLETRANSLATE(B628,""en"",""hi"")"),"पासवर्ड सफलतापूर्वक अपडेट किया गया")</f>
        <v>पासवर्ड सफलतापूर्वक अपडेट किया गया</v>
      </c>
      <c r="D628" s="65" t="str">
        <f>IFERROR(__xludf.DUMMYFUNCTION("GOOGLETRANSLATE(B628,""en"",""ar"")"),"تم تحديث كلمة المرور بنجاح")</f>
        <v>تم تحديث كلمة المرور بنجاح</v>
      </c>
      <c r="E628" s="65" t="str">
        <f>IFERROR(__xludf.DUMMYFUNCTION("GOOGLETRANSLATE(B628,""en"",""fr"")"),"Mot de passe mis à jour avec succès")</f>
        <v>Mot de passe mis à jour avec succès</v>
      </c>
      <c r="F628" s="65" t="str">
        <f>IFERROR(__xludf.DUMMYFUNCTION("GOOGLETRANSLATE(B628,""en"",""tr"")"),"Şifre başarıyla güncellendi")</f>
        <v>Şifre başarıyla güncellendi</v>
      </c>
      <c r="G628" s="65" t="str">
        <f>IFERROR(__xludf.DUMMYFUNCTION("GOOGLETRANSLATE(B628,""en"",""ru"")"),"Пароль успешно обновлен")</f>
        <v>Пароль успешно обновлен</v>
      </c>
      <c r="H628" s="65" t="str">
        <f>IFERROR(__xludf.DUMMYFUNCTION("GOOGLETRANSLATE(B628,""en"",""it"")"),"Password aggiornata con successo")</f>
        <v>Password aggiornata con successo</v>
      </c>
      <c r="I628" s="65" t="str">
        <f>IFERROR(__xludf.DUMMYFUNCTION("GOOGLETRANSLATE(B628,""en"",""de"")"),"Passwort erfolgreich aktualisiert")</f>
        <v>Passwort erfolgreich aktualisiert</v>
      </c>
      <c r="J628" s="65" t="str">
        <f>IFERROR(__xludf.DUMMYFUNCTION("GOOGLETRANSLATE(B628,""en"",""ko"")"),"비밀번호가 성공적으로 업데이트되었습니다.")</f>
        <v>비밀번호가 성공적으로 업데이트되었습니다.</v>
      </c>
      <c r="K628" s="65" t="str">
        <f>IFERROR(__xludf.DUMMYFUNCTION("GOOGLETRANSLATE(B628,""en"",""zh"")"),"密码更新成功")</f>
        <v>密码更新成功</v>
      </c>
      <c r="L628" s="65" t="str">
        <f>IFERROR(__xludf.DUMMYFUNCTION("GOOGLETRANSLATE(B628,""en"",""es"")"),"Contraseña actualizada exitosamente")</f>
        <v>Contraseña actualizada exitosamente</v>
      </c>
      <c r="M628" s="64" t="str">
        <f>IFERROR(__xludf.DUMMYFUNCTION("GOOGLETRANSLATE(B628,""en"",""iw"")"),"הסיסמה עודכנה בהצלחה")</f>
        <v>הסיסמה עודכנה בהצלחה</v>
      </c>
      <c r="N628" s="65" t="str">
        <f>IFERROR(__xludf.DUMMYFUNCTION("GOOGLETRANSLATE(B628,""en"",""bn"")"),"পাসওয়ার্ড সফলভাবে আপডেট হয়েছে")</f>
        <v>পাসওয়ার্ড সফলভাবে আপডেট হয়েছে</v>
      </c>
      <c r="O628" s="4" t="str">
        <f>IFERROR(__xludf.DUMMYFUNCTION("GOOGLETRANSLATE(B628,""en"",""pt"")"),"Senha atualizada com sucesso")</f>
        <v>Senha atualizada com sucesso</v>
      </c>
    </row>
    <row r="629">
      <c r="A629" s="88" t="s">
        <v>1467</v>
      </c>
      <c r="B629" s="91" t="s">
        <v>1468</v>
      </c>
      <c r="C629" s="64" t="str">
        <f>IFERROR(__xludf.DUMMYFUNCTION("GOOGLETRANSLATE(B629,""en"",""hi"")"),"पासवर्ड 8 अक्षरों का होना चाहिए")</f>
        <v>पासवर्ड 8 अक्षरों का होना चाहिए</v>
      </c>
      <c r="D629" s="65" t="str">
        <f>IFERROR(__xludf.DUMMYFUNCTION("GOOGLETRANSLATE(B629,""en"",""ar"")"),"يجب أن تكون كلمة المرور بطول 8 أحرف")</f>
        <v>يجب أن تكون كلمة المرور بطول 8 أحرف</v>
      </c>
      <c r="E629" s="65" t="str">
        <f>IFERROR(__xludf.DUMMYFUNCTION("GOOGLETRANSLATE(B629,""en"",""fr"")"),"Le mot de passe doit comporter 8 caractères")</f>
        <v>Le mot de passe doit comporter 8 caractères</v>
      </c>
      <c r="F629" s="65" t="str">
        <f>IFERROR(__xludf.DUMMYFUNCTION("GOOGLETRANSLATE(B629,""en"",""tr"")"),"Şifre 8 karakter uzunluğunda olmalıdır")</f>
        <v>Şifre 8 karakter uzunluğunda olmalıdır</v>
      </c>
      <c r="G629" s="65" t="str">
        <f>IFERROR(__xludf.DUMMYFUNCTION("GOOGLETRANSLATE(B629,""en"",""ru"")"),"Пароль должен быть длиной 8 символов.")</f>
        <v>Пароль должен быть длиной 8 символов.</v>
      </c>
      <c r="H629" s="65" t="str">
        <f>IFERROR(__xludf.DUMMYFUNCTION("GOOGLETRANSLATE(B629,""en"",""it"")"),"La password deve essere lunga 8 caratteri")</f>
        <v>La password deve essere lunga 8 caratteri</v>
      </c>
      <c r="I629" s="65" t="str">
        <f>IFERROR(__xludf.DUMMYFUNCTION("GOOGLETRANSLATE(B629,""en"",""de"")"),"Das Passwort muss 8 Zeichen lang sein")</f>
        <v>Das Passwort muss 8 Zeichen lang sein</v>
      </c>
      <c r="J629" s="65" t="str">
        <f>IFERROR(__xludf.DUMMYFUNCTION("GOOGLETRANSLATE(B629,""en"",""ko"")"),"비밀번호는 8자 이상이어야 합니다.")</f>
        <v>비밀번호는 8자 이상이어야 합니다.</v>
      </c>
      <c r="K629" s="65" t="str">
        <f>IFERROR(__xludf.DUMMYFUNCTION("GOOGLETRANSLATE(B629,""en"",""zh"")"),"密码长度必须为 8 个字符")</f>
        <v>密码长度必须为 8 个字符</v>
      </c>
      <c r="L629" s="65" t="str">
        <f>IFERROR(__xludf.DUMMYFUNCTION("GOOGLETRANSLATE(B629,""en"",""es"")"),"La contraseña debe tener 8 caracteres")</f>
        <v>La contraseña debe tener 8 caracteres</v>
      </c>
      <c r="M629" s="64" t="str">
        <f>IFERROR(__xludf.DUMMYFUNCTION("GOOGLETRANSLATE(B629,""en"",""iw"")"),"הסיסמה חייבת להיות באורך 8 תווים")</f>
        <v>הסיסמה חייבת להיות באורך 8 תווים</v>
      </c>
      <c r="N629" s="65" t="str">
        <f>IFERROR(__xludf.DUMMYFUNCTION("GOOGLETRANSLATE(B629,""en"",""bn"")"),"পাসওয়ার্ড 8 অক্ষর দৈর্ঘ্য হতে হবে")</f>
        <v>পাসওয়ার্ড 8 অক্ষর দৈর্ঘ্য হতে হবে</v>
      </c>
      <c r="O629" s="4" t="str">
        <f>IFERROR(__xludf.DUMMYFUNCTION("GOOGLETRANSLATE(B629,""en"",""pt"")"),"A senha deve ter 8 caracteres")</f>
        <v>A senha deve ter 8 caracteres</v>
      </c>
    </row>
    <row r="630">
      <c r="A630" s="88" t="s">
        <v>1469</v>
      </c>
      <c r="B630" s="91" t="s">
        <v>1470</v>
      </c>
      <c r="C630" s="64" t="str">
        <f>IFERROR(__xludf.DUMMYFUNCTION("GOOGLETRANSLATE(B630,""en"",""hi"")"),"कृपया सही ओटीपी दर्ज करें")</f>
        <v>कृपया सही ओटीपी दर्ज करें</v>
      </c>
      <c r="D630" s="65" t="str">
        <f>IFERROR(__xludf.DUMMYFUNCTION("GOOGLETRANSLATE(B630,""en"",""ar"")"),"الرجاء إدخال كلمة المرور الصحيحة")</f>
        <v>الرجاء إدخال كلمة المرور الصحيحة</v>
      </c>
      <c r="E630" s="65" t="str">
        <f>IFERROR(__xludf.DUMMYFUNCTION("GOOGLETRANSLATE(B630,""en"",""fr"")"),"Veuillez saisir un OTP correct")</f>
        <v>Veuillez saisir un OTP correct</v>
      </c>
      <c r="F630" s="65" t="str">
        <f>IFERROR(__xludf.DUMMYFUNCTION("GOOGLETRANSLATE(B630,""en"",""tr"")"),"Lütfen doğru otp'yi girin")</f>
        <v>Lütfen doğru otp'yi girin</v>
      </c>
      <c r="G630" s="65" t="str">
        <f>IFERROR(__xludf.DUMMYFUNCTION("GOOGLETRANSLATE(B630,""en"",""ru"")"),"Пожалуйста, введите правильный одноразовый пароль")</f>
        <v>Пожалуйста, введите правильный одноразовый пароль</v>
      </c>
      <c r="H630" s="65" t="str">
        <f>IFERROR(__xludf.DUMMYFUNCTION("GOOGLETRANSLATE(B630,""en"",""it"")"),"Inserisci l'OTP corretto")</f>
        <v>Inserisci l'OTP corretto</v>
      </c>
      <c r="I630" s="65" t="str">
        <f>IFERROR(__xludf.DUMMYFUNCTION("GOOGLETRANSLATE(B630,""en"",""de"")"),"Bitte geben Sie das richtige OTP ein")</f>
        <v>Bitte geben Sie das richtige OTP ein</v>
      </c>
      <c r="J630" s="65" t="str">
        <f>IFERROR(__xludf.DUMMYFUNCTION("GOOGLETRANSLATE(B630,""en"",""ko"")"),"올바른 OTP를 입력하세요")</f>
        <v>올바른 OTP를 입력하세요</v>
      </c>
      <c r="K630" s="65" t="str">
        <f>IFERROR(__xludf.DUMMYFUNCTION("GOOGLETRANSLATE(B630,""en"",""zh"")"),"请输入正确的 otp")</f>
        <v>请输入正确的 otp</v>
      </c>
      <c r="L630" s="65" t="str">
        <f>IFERROR(__xludf.DUMMYFUNCTION("GOOGLETRANSLATE(B630,""en"",""es"")"),"Por favor ingrese el otp correcto")</f>
        <v>Por favor ingrese el otp correcto</v>
      </c>
      <c r="M630" s="64" t="str">
        <f>IFERROR(__xludf.DUMMYFUNCTION("GOOGLETRANSLATE(B630,""en"",""iw"")"),"נא להזין otp נכון")</f>
        <v>נא להזין otp נכון</v>
      </c>
      <c r="N630" s="65" t="str">
        <f>IFERROR(__xludf.DUMMYFUNCTION("GOOGLETRANSLATE(B630,""en"",""bn"")"),"সঠিক otp লিখুন")</f>
        <v>সঠিক otp লিখুন</v>
      </c>
      <c r="O630" s="4" t="str">
        <f>IFERROR(__xludf.DUMMYFUNCTION("GOOGLETRANSLATE(B630,""en"",""pt"")"),"Por favor, insira o otp correto")</f>
        <v>Por favor, insira o otp correto</v>
      </c>
    </row>
    <row r="631">
      <c r="A631" s="88" t="s">
        <v>1471</v>
      </c>
      <c r="B631" s="91" t="s">
        <v>1472</v>
      </c>
      <c r="C631" s="64" t="str">
        <f>IFERROR(__xludf.DUMMYFUNCTION("GOOGLETRANSLATE(B631,""en"",""hi"")"),"कृपया ओटीपी दर्ज करें")</f>
        <v>कृपया ओटीपी दर्ज करें</v>
      </c>
      <c r="D631" s="65" t="str">
        <f>IFERROR(__xludf.DUMMYFUNCTION("GOOGLETRANSLATE(B631,""en"",""ar"")"),"الرجاء إدخال كلمة المرور لمرة واحدة")</f>
        <v>الرجاء إدخال كلمة المرور لمرة واحدة</v>
      </c>
      <c r="E631" s="65" t="str">
        <f>IFERROR(__xludf.DUMMYFUNCTION("GOOGLETRANSLATE(B631,""en"",""fr"")"),"Veuillez saisir OTP")</f>
        <v>Veuillez saisir OTP</v>
      </c>
      <c r="F631" s="65" t="str">
        <f>IFERROR(__xludf.DUMMYFUNCTION("GOOGLETRANSLATE(B631,""en"",""tr"")"),"Lütfen otp girin")</f>
        <v>Lütfen otp girin</v>
      </c>
      <c r="G631" s="65" t="str">
        <f>IFERROR(__xludf.DUMMYFUNCTION("GOOGLETRANSLATE(B631,""en"",""ru"")"),"Пожалуйста, введите одноразовый пароль")</f>
        <v>Пожалуйста, введите одноразовый пароль</v>
      </c>
      <c r="H631" s="65" t="str">
        <f>IFERROR(__xludf.DUMMYFUNCTION("GOOGLETRANSLATE(B631,""en"",""it"")"),"Inserisci otp")</f>
        <v>Inserisci otp</v>
      </c>
      <c r="I631" s="65" t="str">
        <f>IFERROR(__xludf.DUMMYFUNCTION("GOOGLETRANSLATE(B631,""en"",""de"")"),"Bitte geben Sie OTP ein")</f>
        <v>Bitte geben Sie OTP ein</v>
      </c>
      <c r="J631" s="65" t="str">
        <f>IFERROR(__xludf.DUMMYFUNCTION("GOOGLETRANSLATE(B631,""en"",""ko"")"),"otp를 입력하세요")</f>
        <v>otp를 입력하세요</v>
      </c>
      <c r="K631" s="65" t="str">
        <f>IFERROR(__xludf.DUMMYFUNCTION("GOOGLETRANSLATE(B631,""en"",""zh"")"),"请输入一次性密码")</f>
        <v>请输入一次性密码</v>
      </c>
      <c r="L631" s="65" t="str">
        <f>IFERROR(__xludf.DUMMYFUNCTION("GOOGLETRANSLATE(B631,""en"",""es"")"),"Por favor ingrese otp")</f>
        <v>Por favor ingrese otp</v>
      </c>
      <c r="M631" s="64" t="str">
        <f>IFERROR(__xludf.DUMMYFUNCTION("GOOGLETRANSLATE(B631,""en"",""iw"")"),"נא להזין otp")</f>
        <v>נא להזין otp</v>
      </c>
      <c r="N631" s="65" t="str">
        <f>IFERROR(__xludf.DUMMYFUNCTION("GOOGLETRANSLATE(B631,""en"",""bn"")"),"অনুগ্রহ করে ওটিপি লিখুন")</f>
        <v>অনুগ্রহ করে ওটিপি লিখুন</v>
      </c>
      <c r="O631" s="4" t="str">
        <f>IFERROR(__xludf.DUMMYFUNCTION("GOOGLETRANSLATE(B631,""en"",""pt"")"),"Por favor insira otp")</f>
        <v>Por favor insira otp</v>
      </c>
    </row>
    <row r="632">
      <c r="A632" s="88" t="s">
        <v>1473</v>
      </c>
      <c r="B632" s="91" t="s">
        <v>1474</v>
      </c>
      <c r="C632" s="64" t="str">
        <f>IFERROR(__xludf.DUMMYFUNCTION("GOOGLETRANSLATE(B632,""en"",""hi"")"),"कृपया मान्य मोबाइल नंबर दर्ज करें")</f>
        <v>कृपया मान्य मोबाइल नंबर दर्ज करें</v>
      </c>
      <c r="D632" s="65" t="str">
        <f>IFERROR(__xludf.DUMMYFUNCTION("GOOGLETRANSLATE(B632,""en"",""ar"")"),"الرجاء إدخال رقم الهاتف المحمول الصحيح")</f>
        <v>الرجاء إدخال رقم الهاتف المحمول الصحيح</v>
      </c>
      <c r="E632" s="65" t="str">
        <f>IFERROR(__xludf.DUMMYFUNCTION("GOOGLETRANSLATE(B632,""en"",""fr"")"),"Veuillez entrer un numéro de téléphone portable valide")</f>
        <v>Veuillez entrer un numéro de téléphone portable valide</v>
      </c>
      <c r="F632" s="65" t="str">
        <f>IFERROR(__xludf.DUMMYFUNCTION("GOOGLETRANSLATE(B632,""en"",""tr"")"),"Lütfen geçerli bir cep telefonu numarası girin")</f>
        <v>Lütfen geçerli bir cep telefonu numarası girin</v>
      </c>
      <c r="G632" s="65" t="str">
        <f>IFERROR(__xludf.DUMMYFUNCTION("GOOGLETRANSLATE(B632,""en"",""ru"")"),"Пожалуйста, введите действительный номер мобильного телефона.")</f>
        <v>Пожалуйста, введите действительный номер мобильного телефона.</v>
      </c>
      <c r="H632" s="65" t="str">
        <f>IFERROR(__xludf.DUMMYFUNCTION("GOOGLETRANSLATE(B632,""en"",""it"")"),"Inserisci un numero di cellulare valido")</f>
        <v>Inserisci un numero di cellulare valido</v>
      </c>
      <c r="I632" s="65" t="str">
        <f>IFERROR(__xludf.DUMMYFUNCTION("GOOGLETRANSLATE(B632,""en"",""de"")"),"Bitte geben Sie eine gültige Handynummer ein")</f>
        <v>Bitte geben Sie eine gültige Handynummer ein</v>
      </c>
      <c r="J632" s="65" t="str">
        <f>IFERROR(__xludf.DUMMYFUNCTION("GOOGLETRANSLATE(B632,""en"",""ko"")"),"유효한 휴대폰 번호를 입력하세요")</f>
        <v>유효한 휴대폰 번호를 입력하세요</v>
      </c>
      <c r="K632" s="65" t="str">
        <f>IFERROR(__xludf.DUMMYFUNCTION("GOOGLETRANSLATE(B632,""en"",""zh"")"),"请输入有效的手机号码")</f>
        <v>请输入有效的手机号码</v>
      </c>
      <c r="L632" s="65" t="str">
        <f>IFERROR(__xludf.DUMMYFUNCTION("GOOGLETRANSLATE(B632,""en"",""es"")"),"Por favor, introduzca un número de móvil válido")</f>
        <v>Por favor, introduzca un número de móvil válido</v>
      </c>
      <c r="M632" s="64" t="str">
        <f>IFERROR(__xludf.DUMMYFUNCTION("GOOGLETRANSLATE(B632,""en"",""iw"")"),"נא להזין מספר נייד חוקי")</f>
        <v>נא להזין מספר נייד חוקי</v>
      </c>
      <c r="N632" s="65" t="str">
        <f>IFERROR(__xludf.DUMMYFUNCTION("GOOGLETRANSLATE(B632,""en"",""bn"")"),"বৈধ মোবাইল নম্বর লিখুন")</f>
        <v>বৈধ মোবাইল নম্বর লিখুন</v>
      </c>
      <c r="O632" s="4" t="str">
        <f>IFERROR(__xludf.DUMMYFUNCTION("GOOGLETRANSLATE(B632,""en"",""pt"")"),"Por favor, insira um número de celular válido")</f>
        <v>Por favor, insira um número de celular válido</v>
      </c>
    </row>
    <row r="633">
      <c r="A633" s="88" t="s">
        <v>1475</v>
      </c>
      <c r="B633" s="91" t="s">
        <v>829</v>
      </c>
      <c r="C633" s="64" t="str">
        <f>IFERROR(__xludf.DUMMYFUNCTION("GOOGLETRANSLATE(B633,""en"",""hi"")"),"कृपया सही ईमेल पता दें")</f>
        <v>कृपया सही ईमेल पता दें</v>
      </c>
      <c r="D633" s="65" t="str">
        <f>IFERROR(__xludf.DUMMYFUNCTION("GOOGLETRANSLATE(B633,""en"",""ar"")"),"الرجاء إدخال عنوان بريد إلكتروني صالح")</f>
        <v>الرجاء إدخال عنوان بريد إلكتروني صالح</v>
      </c>
      <c r="E633" s="65" t="str">
        <f>IFERROR(__xludf.DUMMYFUNCTION("GOOGLETRANSLATE(B633,""en"",""fr"")"),"Veuillez saisir une adresse e-mail valide")</f>
        <v>Veuillez saisir une adresse e-mail valide</v>
      </c>
      <c r="F633" s="65" t="str">
        <f>IFERROR(__xludf.DUMMYFUNCTION("GOOGLETRANSLATE(B633,""en"",""tr"")"),"Lütfen geçerli bir e-posta adresi girin")</f>
        <v>Lütfen geçerli bir e-posta adresi girin</v>
      </c>
      <c r="G633" s="65" t="str">
        <f>IFERROR(__xludf.DUMMYFUNCTION("GOOGLETRANSLATE(B633,""en"",""ru"")"),"Пожалуйста, введите действительный адрес электронной почты")</f>
        <v>Пожалуйста, введите действительный адрес электронной почты</v>
      </c>
      <c r="H633" s="65" t="str">
        <f>IFERROR(__xludf.DUMMYFUNCTION("GOOGLETRANSLATE(B633,""en"",""it"")"),"Inserisci un indirizzo email valido")</f>
        <v>Inserisci un indirizzo email valido</v>
      </c>
      <c r="I633" s="65" t="str">
        <f>IFERROR(__xludf.DUMMYFUNCTION("GOOGLETRANSLATE(B633,""en"",""de"")"),"Bitte geben Sie eine gültige E-Mail-Adresse ein")</f>
        <v>Bitte geben Sie eine gültige E-Mail-Adresse ein</v>
      </c>
      <c r="J633" s="65" t="str">
        <f>IFERROR(__xludf.DUMMYFUNCTION("GOOGLETRANSLATE(B633,""en"",""ko"")"),"유효한 이메일 주소를 입력하세요")</f>
        <v>유효한 이메일 주소를 입력하세요</v>
      </c>
      <c r="K633" s="65" t="str">
        <f>IFERROR(__xludf.DUMMYFUNCTION("GOOGLETRANSLATE(B633,""en"",""zh"")"),"请输入有效的电子邮件地址")</f>
        <v>请输入有效的电子邮件地址</v>
      </c>
      <c r="L633" s="65" t="str">
        <f>IFERROR(__xludf.DUMMYFUNCTION("GOOGLETRANSLATE(B633,""en"",""es"")"),"Por favor, introduzca una dirección de correo electrónico válida")</f>
        <v>Por favor, introduzca una dirección de correo electrónico válida</v>
      </c>
      <c r="M633" s="64" t="str">
        <f>IFERROR(__xludf.DUMMYFUNCTION("GOOGLETRANSLATE(B633,""en"",""iw"")"),"נא להזין כתובת אימייל חוקית")</f>
        <v>נא להזין כתובת אימייל חוקית</v>
      </c>
      <c r="N633" s="65" t="str">
        <f>IFERROR(__xludf.DUMMYFUNCTION("GOOGLETRANSLATE(B633,""en"",""bn"")"),"বৈধ ইমেল ঠিকানা লিখুন")</f>
        <v>বৈধ ইমেল ঠিকানা লিখুন</v>
      </c>
      <c r="O633" s="4" t="str">
        <f>IFERROR(__xludf.DUMMYFUNCTION("GOOGLETRANSLATE(B633,""en"",""pt"")"),"Por favor, insira um endereço de e-mail válido")</f>
        <v>Por favor, insira um endereço de e-mail válido</v>
      </c>
    </row>
    <row r="634">
      <c r="A634" s="88" t="s">
        <v>1476</v>
      </c>
      <c r="B634" s="91" t="s">
        <v>1477</v>
      </c>
      <c r="C634" s="64" t="str">
        <f>IFERROR(__xludf.DUMMYFUNCTION("GOOGLETRANSLATE(B634,""en"",""hi"")"),"मोबाइल नंबर मौजूद नहीं है")</f>
        <v>मोबाइल नंबर मौजूद नहीं है</v>
      </c>
      <c r="D634" s="65" t="str">
        <f>IFERROR(__xludf.DUMMYFUNCTION("GOOGLETRANSLATE(B634,""en"",""ar"")"),"رقم الجوال غير موجود")</f>
        <v>رقم الجوال غير موجود</v>
      </c>
      <c r="E634" s="65" t="str">
        <f>IFERROR(__xludf.DUMMYFUNCTION("GOOGLETRANSLATE(B634,""en"",""fr"")"),"Le numéro de mobile n'existe pas")</f>
        <v>Le numéro de mobile n'existe pas</v>
      </c>
      <c r="F634" s="65" t="str">
        <f>IFERROR(__xludf.DUMMYFUNCTION("GOOGLETRANSLATE(B634,""en"",""tr"")"),"Cep Telefonu Numarası mevcut değil")</f>
        <v>Cep Telefonu Numarası mevcut değil</v>
      </c>
      <c r="G634" s="65" t="str">
        <f>IFERROR(__xludf.DUMMYFUNCTION("GOOGLETRANSLATE(B634,""en"",""ru"")"),"Номер мобильного телефона не существует.")</f>
        <v>Номер мобильного телефона не существует.</v>
      </c>
      <c r="H634" s="65" t="str">
        <f>IFERROR(__xludf.DUMMYFUNCTION("GOOGLETRANSLATE(B634,""en"",""it"")"),"Il numero di cellulare non esiste")</f>
        <v>Il numero di cellulare non esiste</v>
      </c>
      <c r="I634" s="65" t="str">
        <f>IFERROR(__xludf.DUMMYFUNCTION("GOOGLETRANSLATE(B634,""en"",""de"")"),"Handynummer existiert nicht")</f>
        <v>Handynummer existiert nicht</v>
      </c>
      <c r="J634" s="65" t="str">
        <f>IFERROR(__xludf.DUMMYFUNCTION("GOOGLETRANSLATE(B634,""en"",""ko"")"),"휴대폰 번호가 존재하지 않습니다")</f>
        <v>휴대폰 번호가 존재하지 않습니다</v>
      </c>
      <c r="K634" s="65" t="str">
        <f>IFERROR(__xludf.DUMMYFUNCTION("GOOGLETRANSLATE(B634,""en"",""zh"")"),"手机号码不存在")</f>
        <v>手机号码不存在</v>
      </c>
      <c r="L634" s="65" t="str">
        <f>IFERROR(__xludf.DUMMYFUNCTION("GOOGLETRANSLATE(B634,""en"",""es"")"),"El número de móvil no existe")</f>
        <v>El número de móvil no existe</v>
      </c>
      <c r="M634" s="64" t="str">
        <f>IFERROR(__xludf.DUMMYFUNCTION("GOOGLETRANSLATE(B634,""en"",""iw"")"),"מספר נייד לא קיים")</f>
        <v>מספר נייד לא קיים</v>
      </c>
      <c r="N634" s="65" t="str">
        <f>IFERROR(__xludf.DUMMYFUNCTION("GOOGLETRANSLATE(B634,""en"",""bn"")"),"মোবাইল নম্বর বিদ্যমান নেই")</f>
        <v>মোবাইল নম্বর বিদ্যমান নেই</v>
      </c>
      <c r="O634" s="4" t="str">
        <f>IFERROR(__xludf.DUMMYFUNCTION("GOOGLETRANSLATE(B634,""en"",""pt"")"),"Número de celular não existe")</f>
        <v>Número de celular não existe</v>
      </c>
    </row>
    <row r="635">
      <c r="A635" s="88" t="s">
        <v>1478</v>
      </c>
      <c r="B635" s="91" t="s">
        <v>1479</v>
      </c>
      <c r="C635" s="64" t="str">
        <f>IFERROR(__xludf.DUMMYFUNCTION("GOOGLETRANSLATE(B635,""en"",""hi"")"),"ईमेल मौजूद नहीं है")</f>
        <v>ईमेल मौजूद नहीं है</v>
      </c>
      <c r="D635" s="65" t="str">
        <f>IFERROR(__xludf.DUMMYFUNCTION("GOOGLETRANSLATE(B635,""en"",""ar"")"),"البريد الإلكتروني غير موجود")</f>
        <v>البريد الإلكتروني غير موجود</v>
      </c>
      <c r="E635" s="65" t="str">
        <f>IFERROR(__xludf.DUMMYFUNCTION("GOOGLETRANSLATE(B635,""en"",""fr"")"),"L'e-mail n'existe pas")</f>
        <v>L'e-mail n'existe pas</v>
      </c>
      <c r="F635" s="65" t="str">
        <f>IFERROR(__xludf.DUMMYFUNCTION("GOOGLETRANSLATE(B635,""en"",""tr"")"),"E-posta mevcut değil")</f>
        <v>E-posta mevcut değil</v>
      </c>
      <c r="G635" s="65" t="str">
        <f>IFERROR(__xludf.DUMMYFUNCTION("GOOGLETRANSLATE(B635,""en"",""ru"")"),"Адрес электронной почты не существует")</f>
        <v>Адрес электронной почты не существует</v>
      </c>
      <c r="H635" s="65" t="str">
        <f>IFERROR(__xludf.DUMMYFUNCTION("GOOGLETRANSLATE(B635,""en"",""it"")"),"L'email non esiste")</f>
        <v>L'email non esiste</v>
      </c>
      <c r="I635" s="65" t="str">
        <f>IFERROR(__xludf.DUMMYFUNCTION("GOOGLETRANSLATE(B635,""en"",""de"")"),"E-Mail existiert nicht")</f>
        <v>E-Mail existiert nicht</v>
      </c>
      <c r="J635" s="65" t="str">
        <f>IFERROR(__xludf.DUMMYFUNCTION("GOOGLETRANSLATE(B635,""en"",""ko"")"),"이메일이 존재하지 않습니다")</f>
        <v>이메일이 존재하지 않습니다</v>
      </c>
      <c r="K635" s="65" t="str">
        <f>IFERROR(__xludf.DUMMYFUNCTION("GOOGLETRANSLATE(B635,""en"",""zh"")"),"电子邮件不存在")</f>
        <v>电子邮件不存在</v>
      </c>
      <c r="L635" s="65" t="str">
        <f>IFERROR(__xludf.DUMMYFUNCTION("GOOGLETRANSLATE(B635,""en"",""es"")"),"El correo electrónico no existe")</f>
        <v>El correo electrónico no existe</v>
      </c>
      <c r="M635" s="64" t="str">
        <f>IFERROR(__xludf.DUMMYFUNCTION("GOOGLETRANSLATE(B635,""en"",""iw"")"),"אימייל לא קיים")</f>
        <v>אימייל לא קיים</v>
      </c>
      <c r="N635" s="65" t="str">
        <f>IFERROR(__xludf.DUMMYFUNCTION("GOOGLETRANSLATE(B635,""en"",""bn"")"),"ইমেল বিদ্যমান নেই")</f>
        <v>ইমেল বিদ্যমান নেই</v>
      </c>
      <c r="O635" s="4" t="str">
        <f>IFERROR(__xludf.DUMMYFUNCTION("GOOGLETRANSLATE(B635,""en"",""pt"")"),"O e-mail não existe")</f>
        <v>O e-mail não existe</v>
      </c>
    </row>
    <row r="636">
      <c r="A636" s="88" t="s">
        <v>1480</v>
      </c>
      <c r="B636" s="91" t="s">
        <v>1481</v>
      </c>
      <c r="C636" s="64" t="str">
        <f>IFERROR(__xludf.DUMMYFUNCTION("GOOGLETRANSLATE(B636,""en"",""hi"")"),"कृपया आगे बढ़ने के लिए सभी फ़ील्ड दर्ज करें")</f>
        <v>कृपया आगे बढ़ने के लिए सभी फ़ील्ड दर्ज करें</v>
      </c>
      <c r="D636" s="65" t="str">
        <f>IFERROR(__xludf.DUMMYFUNCTION("GOOGLETRANSLATE(B636,""en"",""ar"")"),"الرجاء إدخال جميع الحقول للمتابعة")</f>
        <v>الرجاء إدخال جميع الحقول للمتابعة</v>
      </c>
      <c r="E636" s="65" t="str">
        <f>IFERROR(__xludf.DUMMYFUNCTION("GOOGLETRANSLATE(B636,""en"",""fr"")"),"veuillez remplir tous les champs pour continuer")</f>
        <v>veuillez remplir tous les champs pour continuer</v>
      </c>
      <c r="F636" s="65" t="str">
        <f>IFERROR(__xludf.DUMMYFUNCTION("GOOGLETRANSLATE(B636,""en"",""tr"")"),"devam etmek için lütfen tüm alanları doldurun")</f>
        <v>devam etmek için lütfen tüm alanları doldurun</v>
      </c>
      <c r="G636" s="65" t="str">
        <f>IFERROR(__xludf.DUMMYFUNCTION("GOOGLETRANSLATE(B636,""en"",""ru"")"),"пожалуйста, заполните все поля, чтобы продолжить")</f>
        <v>пожалуйста, заполните все поля, чтобы продолжить</v>
      </c>
      <c r="H636" s="65" t="str">
        <f>IFERROR(__xludf.DUMMYFUNCTION("GOOGLETRANSLATE(B636,""en"",""it"")"),"si prega di compilare tutti i campi per procedere")</f>
        <v>si prega di compilare tutti i campi per procedere</v>
      </c>
      <c r="I636" s="65" t="str">
        <f>IFERROR(__xludf.DUMMYFUNCTION("GOOGLETRANSLATE(B636,""en"",""de"")"),"Bitte füllen Sie alle Felder aus, um fortzufahren")</f>
        <v>Bitte füllen Sie alle Felder aus, um fortzufahren</v>
      </c>
      <c r="J636" s="65" t="str">
        <f>IFERROR(__xludf.DUMMYFUNCTION("GOOGLETRANSLATE(B636,""en"",""ko"")"),"계속하려면 모든 필드를 입력하세요")</f>
        <v>계속하려면 모든 필드를 입력하세요</v>
      </c>
      <c r="K636" s="65" t="str">
        <f>IFERROR(__xludf.DUMMYFUNCTION("GOOGLETRANSLATE(B636,""en"",""zh"")"),"请输入所有字段以继续")</f>
        <v>请输入所有字段以继续</v>
      </c>
      <c r="L636" s="65" t="str">
        <f>IFERROR(__xludf.DUMMYFUNCTION("GOOGLETRANSLATE(B636,""en"",""es"")"),"Por favor, complete todos los campos para continuar.")</f>
        <v>Por favor, complete todos los campos para continuar.</v>
      </c>
      <c r="M636" s="64" t="str">
        <f>IFERROR(__xludf.DUMMYFUNCTION("GOOGLETRANSLATE(B636,""en"",""iw"")"),"אנא הזן את כל השדות כדי להמשיך")</f>
        <v>אנא הזן את כל השדות כדי להמשיך</v>
      </c>
      <c r="N636" s="65" t="str">
        <f>IFERROR(__xludf.DUMMYFUNCTION("GOOGLETRANSLATE(B636,""en"",""bn"")"),"এগিয়ে যেতে সব ক্ষেত্র লিখুন দয়া করে")</f>
        <v>এগিয়ে যেতে সব ক্ষেত্র লিখুন দয়া করে</v>
      </c>
      <c r="O636" s="4" t="str">
        <f>IFERROR(__xludf.DUMMYFUNCTION("GOOGLETRANSLATE(B636,""en"",""pt"")"),"por favor preencha todos os campos para prosseguir")</f>
        <v>por favor preencha todos os campos para prosseguir</v>
      </c>
    </row>
    <row r="637">
      <c r="A637" s="88" t="s">
        <v>1482</v>
      </c>
      <c r="B637" s="91" t="s">
        <v>1483</v>
      </c>
      <c r="C637" s="64" t="str">
        <f>IFERROR(__xludf.DUMMYFUNCTION("GOOGLETRANSLATE(B637,""en"",""hi"")"),"पासवर्ड अपडेट करें")</f>
        <v>पासवर्ड अपडेट करें</v>
      </c>
      <c r="D637" s="65" t="str">
        <f>IFERROR(__xludf.DUMMYFUNCTION("GOOGLETRANSLATE(B637,""en"",""ar"")"),"تحديث كلمة المرور")</f>
        <v>تحديث كلمة المرور</v>
      </c>
      <c r="E637" s="65" t="str">
        <f>IFERROR(__xludf.DUMMYFUNCTION("GOOGLETRANSLATE(B637,""en"",""fr"")"),"Mettre à jour le mot de passe")</f>
        <v>Mettre à jour le mot de passe</v>
      </c>
      <c r="F637" s="65" t="str">
        <f>IFERROR(__xludf.DUMMYFUNCTION("GOOGLETRANSLATE(B637,""en"",""tr"")"),"Şifreyi Güncelle")</f>
        <v>Şifreyi Güncelle</v>
      </c>
      <c r="G637" s="65" t="str">
        <f>IFERROR(__xludf.DUMMYFUNCTION("GOOGLETRANSLATE(B637,""en"",""ru"")"),"Обновить пароль")</f>
        <v>Обновить пароль</v>
      </c>
      <c r="H637" s="65" t="str">
        <f>IFERROR(__xludf.DUMMYFUNCTION("GOOGLETRANSLATE(B637,""en"",""it"")"),"Aggiorna password")</f>
        <v>Aggiorna password</v>
      </c>
      <c r="I637" s="65" t="str">
        <f>IFERROR(__xludf.DUMMYFUNCTION("GOOGLETRANSLATE(B637,""en"",""de"")"),"Kennwort aktualisieren")</f>
        <v>Kennwort aktualisieren</v>
      </c>
      <c r="J637" s="65" t="str">
        <f>IFERROR(__xludf.DUMMYFUNCTION("GOOGLETRANSLATE(B637,""en"",""ko"")"),"비밀번호 업데이트")</f>
        <v>비밀번호 업데이트</v>
      </c>
      <c r="K637" s="65" t="str">
        <f>IFERROR(__xludf.DUMMYFUNCTION("GOOGLETRANSLATE(B637,""en"",""zh"")"),"更新密码")</f>
        <v>更新密码</v>
      </c>
      <c r="L637" s="65" t="str">
        <f>IFERROR(__xludf.DUMMYFUNCTION("GOOGLETRANSLATE(B637,""en"",""es"")"),"Actualizar contraseña")</f>
        <v>Actualizar contraseña</v>
      </c>
      <c r="M637" s="64" t="str">
        <f>IFERROR(__xludf.DUMMYFUNCTION("GOOGLETRANSLATE(B637,""en"",""iw"")"),"עדכן סיסמה")</f>
        <v>עדכן סיסמה</v>
      </c>
      <c r="N637" s="65" t="str">
        <f>IFERROR(__xludf.DUMMYFUNCTION("GOOGLETRANSLATE(B637,""en"",""bn"")"),"পাসওয়ার্ড আপডেট করুন")</f>
        <v>পাসওয়ার্ড আপডেট করুন</v>
      </c>
      <c r="O637" s="4" t="str">
        <f>IFERROR(__xludf.DUMMYFUNCTION("GOOGLETRANSLATE(B637,""en"",""pt"")"),"Atualizar senha")</f>
        <v>Atualizar senha</v>
      </c>
    </row>
    <row r="638">
      <c r="A638" s="88" t="s">
        <v>1484</v>
      </c>
      <c r="B638" s="91" t="s">
        <v>1485</v>
      </c>
      <c r="C638" s="64" t="str">
        <f>IFERROR(__xludf.DUMMYFUNCTION("GOOGLETRANSLATE(B638,""en"",""hi"")"),"इस नंबर के साथ उपयोगकर्ता मौजूद नहीं है, कृपया जारी रखने के लिए साइनअप करें")</f>
        <v>इस नंबर के साथ उपयोगकर्ता मौजूद नहीं है, कृपया जारी रखने के लिए साइनअप करें</v>
      </c>
      <c r="D638" s="65" t="str">
        <f>IFERROR(__xludf.DUMMYFUNCTION("GOOGLETRANSLATE(B638,""en"",""ar"")"),"المستخدم غير موجود بهذا الرقم، يرجى التسجيل للمتابعة")</f>
        <v>المستخدم غير موجود بهذا الرقم، يرجى التسجيل للمتابعة</v>
      </c>
      <c r="E638" s="65" t="str">
        <f>IFERROR(__xludf.DUMMYFUNCTION("GOOGLETRANSLATE(B638,""en"",""fr"")"),"L'utilisateur n'existe pas avec ce numéro, veuillez vous inscrire pour continuer")</f>
        <v>L'utilisateur n'existe pas avec ce numéro, veuillez vous inscrire pour continuer</v>
      </c>
      <c r="F638" s="65" t="str">
        <f>IFERROR(__xludf.DUMMYFUNCTION("GOOGLETRANSLATE(B638,""en"",""tr"")"),"Bu numaraya sahip bir kullanıcı bulunmuyor, lütfen devam etmek için Kaydolun")</f>
        <v>Bu numaraya sahip bir kullanıcı bulunmuyor, lütfen devam etmek için Kaydolun</v>
      </c>
      <c r="G638" s="65" t="str">
        <f>IFERROR(__xludf.DUMMYFUNCTION("GOOGLETRANSLATE(B638,""en"",""ru"")"),"Пользователь с таким номером не существует. Зарегистрируйтесь, чтобы продолжить.")</f>
        <v>Пользователь с таким номером не существует. Зарегистрируйтесь, чтобы продолжить.</v>
      </c>
      <c r="H638" s="65" t="str">
        <f>IFERROR(__xludf.DUMMYFUNCTION("GOOGLETRANSLATE(B638,""en"",""it"")"),"L'utente non esiste con questo numero, registrati per continuare")</f>
        <v>L'utente non esiste con questo numero, registrati per continuare</v>
      </c>
      <c r="I638" s="65" t="str">
        <f>IFERROR(__xludf.DUMMYFUNCTION("GOOGLETRANSLATE(B638,""en"",""de"")"),"Der Benutzer existiert nicht mit dieser Nummer. Bitte melden Sie sich an, um fortzufahren.")</f>
        <v>Der Benutzer existiert nicht mit dieser Nummer. Bitte melden Sie sich an, um fortzufahren.</v>
      </c>
      <c r="J638" s="65" t="str">
        <f>IFERROR(__xludf.DUMMYFUNCTION("GOOGLETRANSLATE(B638,""en"",""ko"")"),"이 번호에는 사용자가 존재하지 않습니다. 계속하려면 가입하세요.")</f>
        <v>이 번호에는 사용자가 존재하지 않습니다. 계속하려면 가입하세요.</v>
      </c>
      <c r="K638" s="65" t="str">
        <f>IFERROR(__xludf.DUMMYFUNCTION("GOOGLETRANSLATE(B638,""en"",""zh"")"),"此号码不存在，请注册后再继续")</f>
        <v>此号码不存在，请注册后再继续</v>
      </c>
      <c r="L638" s="65" t="str">
        <f>IFERROR(__xludf.DUMMYFUNCTION("GOOGLETRANSLATE(B638,""en"",""es"")"),"El usuario no existe con este número, por favor regístrate para continuar")</f>
        <v>El usuario no existe con este número, por favor regístrate para continuar</v>
      </c>
      <c r="M638" s="64" t="str">
        <f>IFERROR(__xludf.DUMMYFUNCTION("GOOGLETRANSLATE(B638,""en"",""iw"")"),"המשתמש לא קיים עם המספר הזה, אנא הירשם כדי להמשיך")</f>
        <v>המשתמש לא קיים עם המספר הזה, אנא הירשם כדי להמשיך</v>
      </c>
      <c r="N638" s="65" t="str">
        <f>IFERROR(__xludf.DUMMYFUNCTION("GOOGLETRANSLATE(B638,""en"",""bn"")"),"ব্যবহারকারী এই নম্বরের সাথে বিদ্যমান নেই, চালিয়ে যেতে সাইন আপ করুন")</f>
        <v>ব্যবহারকারী এই নম্বরের সাথে বিদ্যমান নেই, চালিয়ে যেতে সাইন আপ করুন</v>
      </c>
      <c r="O638" s="4" t="str">
        <f>IFERROR(__xludf.DUMMYFUNCTION("GOOGLETRANSLATE(B638,""en"",""pt"")"),"O usuário não existe com este número, por favor, registre-se para continuar")</f>
        <v>O usuário não existe com este número, por favor, registre-se para continuar</v>
      </c>
    </row>
    <row r="639">
      <c r="A639" s="88" t="s">
        <v>1486</v>
      </c>
      <c r="B639" s="91" t="s">
        <v>1487</v>
      </c>
      <c r="C639" s="64" t="str">
        <f>IFERROR(__xludf.DUMMYFUNCTION("GOOGLETRANSLATE(B639,""en"",""hi"")"),"पंजीकृत - 1111")</f>
        <v>पंजीकृत - 1111</v>
      </c>
      <c r="D639" s="65" t="str">
        <f>IFERROR(__xludf.DUMMYFUNCTION("GOOGLETRANSLATE(B639,""en"",""ar"")"),"مسجلة في - 1111")</f>
        <v>مسجلة في - 1111</v>
      </c>
      <c r="E639" s="65" t="str">
        <f>IFERROR(__xludf.DUMMYFUNCTION("GOOGLETRANSLATE(B639,""en"",""fr"")"),"Enregistré pour - 1111")</f>
        <v>Enregistré pour - 1111</v>
      </c>
      <c r="F639" s="65" t="str">
        <f>IFERROR(__xludf.DUMMYFUNCTION("GOOGLETRANSLATE(B639,""en"",""tr"")"),"- 1111 için kayıtlı")</f>
        <v>- 1111 için kayıtlı</v>
      </c>
      <c r="G639" s="65" t="str">
        <f>IFERROR(__xludf.DUMMYFUNCTION("GOOGLETRANSLATE(B639,""en"",""ru"")"),"Зарегистрировано на - 1111")</f>
        <v>Зарегистрировано на - 1111</v>
      </c>
      <c r="H639" s="65" t="str">
        <f>IFERROR(__xludf.DUMMYFUNCTION("GOOGLETRANSLATE(B639,""en"",""it"")"),"Registrato per - 1111")</f>
        <v>Registrato per - 1111</v>
      </c>
      <c r="I639" s="65" t="str">
        <f>IFERROR(__xludf.DUMMYFUNCTION("GOOGLETRANSLATE(B639,""en"",""de"")"),"Registriert für - 1111")</f>
        <v>Registriert für - 1111</v>
      </c>
      <c r="J639" s="65" t="str">
        <f>IFERROR(__xludf.DUMMYFUNCTION("GOOGLETRANSLATE(B639,""en"",""ko"")"),"- 1111에 등록됨")</f>
        <v>- 1111에 등록됨</v>
      </c>
      <c r="K639" s="65" t="str">
        <f>IFERROR(__xludf.DUMMYFUNCTION("GOOGLETRANSLATE(B639,""en"",""zh"")"),"注册人数 - 1111")</f>
        <v>注册人数 - 1111</v>
      </c>
      <c r="L639" s="65" t="str">
        <f>IFERROR(__xludf.DUMMYFUNCTION("GOOGLETRANSLATE(B639,""en"",""es"")"),"Registrado para - 1111")</f>
        <v>Registrado para - 1111</v>
      </c>
      <c r="M639" s="64" t="str">
        <f>IFERROR(__xludf.DUMMYFUNCTION("GOOGLETRANSLATE(B639,""en"",""iw"")"),"נרשם עבור - 1111")</f>
        <v>נרשם עבור - 1111</v>
      </c>
      <c r="N639" s="65" t="str">
        <f>IFERROR(__xludf.DUMMYFUNCTION("GOOGLETRANSLATE(B639,""en"",""bn"")"),"নিবন্ধিত - 1111")</f>
        <v>নিবন্ধিত - 1111</v>
      </c>
      <c r="O639" s="4" t="str">
        <f>IFERROR(__xludf.DUMMYFUNCTION("GOOGLETRANSLATE(B639,""en"",""pt"")"),"Registrado para - 1111")</f>
        <v>Registrado para - 1111</v>
      </c>
    </row>
    <row r="640">
      <c r="A640" s="88" t="s">
        <v>1488</v>
      </c>
      <c r="B640" s="91" t="s">
        <v>1489</v>
      </c>
      <c r="C640" s="64" t="str">
        <f>IFERROR(__xludf.DUMMYFUNCTION("GOOGLETRANSLATE(B640,""en"",""hi"")"),"पुरुष")</f>
        <v>पुरुष</v>
      </c>
      <c r="D640" s="65" t="str">
        <f>IFERROR(__xludf.DUMMYFUNCTION("GOOGLETRANSLATE(B640,""en"",""ar"")"),"ذكر")</f>
        <v>ذكر</v>
      </c>
      <c r="E640" s="65" t="str">
        <f>IFERROR(__xludf.DUMMYFUNCTION("GOOGLETRANSLATE(B640,""en"",""fr"")"),"Mâle")</f>
        <v>Mâle</v>
      </c>
      <c r="F640" s="65" t="str">
        <f>IFERROR(__xludf.DUMMYFUNCTION("GOOGLETRANSLATE(B640,""en"",""tr"")"),"Erkek")</f>
        <v>Erkek</v>
      </c>
      <c r="G640" s="65" t="str">
        <f>IFERROR(__xludf.DUMMYFUNCTION("GOOGLETRANSLATE(B640,""en"",""ru"")"),"Мужской")</f>
        <v>Мужской</v>
      </c>
      <c r="H640" s="65" t="str">
        <f>IFERROR(__xludf.DUMMYFUNCTION("GOOGLETRANSLATE(B640,""en"",""it"")"),"Maschio")</f>
        <v>Maschio</v>
      </c>
      <c r="I640" s="65" t="str">
        <f>IFERROR(__xludf.DUMMYFUNCTION("GOOGLETRANSLATE(B640,""en"",""de"")"),"Männlich")</f>
        <v>Männlich</v>
      </c>
      <c r="J640" s="65" t="str">
        <f>IFERROR(__xludf.DUMMYFUNCTION("GOOGLETRANSLATE(B640,""en"",""ko"")"),"남성")</f>
        <v>남성</v>
      </c>
      <c r="K640" s="65" t="str">
        <f>IFERROR(__xludf.DUMMYFUNCTION("GOOGLETRANSLATE(B640,""en"",""zh"")"),"男性")</f>
        <v>男性</v>
      </c>
      <c r="L640" s="65" t="str">
        <f>IFERROR(__xludf.DUMMYFUNCTION("GOOGLETRANSLATE(B640,""en"",""es"")"),"Masculino")</f>
        <v>Masculino</v>
      </c>
      <c r="M640" s="64" t="str">
        <f>IFERROR(__xludf.DUMMYFUNCTION("GOOGLETRANSLATE(B640,""en"",""iw"")"),"זָכָר")</f>
        <v>זָכָר</v>
      </c>
      <c r="N640" s="65" t="str">
        <f>IFERROR(__xludf.DUMMYFUNCTION("GOOGLETRANSLATE(B640,""en"",""bn"")"),"পুরুষ")</f>
        <v>পুরুষ</v>
      </c>
      <c r="O640" s="4" t="str">
        <f>IFERROR(__xludf.DUMMYFUNCTION("GOOGLETRANSLATE(B640,""en"",""pt"")"),"Macho")</f>
        <v>Macho</v>
      </c>
    </row>
    <row r="641">
      <c r="A641" s="88" t="s">
        <v>1490</v>
      </c>
      <c r="B641" s="91" t="s">
        <v>1491</v>
      </c>
      <c r="C641" s="64" t="str">
        <f>IFERROR(__xludf.DUMMYFUNCTION("GOOGLETRANSLATE(B641,""en"",""hi"")"),"महिला")</f>
        <v>महिला</v>
      </c>
      <c r="D641" s="65" t="str">
        <f>IFERROR(__xludf.DUMMYFUNCTION("GOOGLETRANSLATE(B641,""en"",""ar"")"),"أنثى")</f>
        <v>أنثى</v>
      </c>
      <c r="E641" s="65" t="str">
        <f>IFERROR(__xludf.DUMMYFUNCTION("GOOGLETRANSLATE(B641,""en"",""fr"")"),"Femelle")</f>
        <v>Femelle</v>
      </c>
      <c r="F641" s="65" t="str">
        <f>IFERROR(__xludf.DUMMYFUNCTION("GOOGLETRANSLATE(B641,""en"",""tr"")"),"Dişi")</f>
        <v>Dişi</v>
      </c>
      <c r="G641" s="65" t="str">
        <f>IFERROR(__xludf.DUMMYFUNCTION("GOOGLETRANSLATE(B641,""en"",""ru"")"),"Женский")</f>
        <v>Женский</v>
      </c>
      <c r="H641" s="65" t="str">
        <f>IFERROR(__xludf.DUMMYFUNCTION("GOOGLETRANSLATE(B641,""en"",""it"")"),"Femmina")</f>
        <v>Femmina</v>
      </c>
      <c r="I641" s="65" t="str">
        <f>IFERROR(__xludf.DUMMYFUNCTION("GOOGLETRANSLATE(B641,""en"",""de"")"),"Weiblich")</f>
        <v>Weiblich</v>
      </c>
      <c r="J641" s="65" t="str">
        <f>IFERROR(__xludf.DUMMYFUNCTION("GOOGLETRANSLATE(B641,""en"",""ko"")"),"여성")</f>
        <v>여성</v>
      </c>
      <c r="K641" s="65" t="str">
        <f>IFERROR(__xludf.DUMMYFUNCTION("GOOGLETRANSLATE(B641,""en"",""zh"")"),"女性")</f>
        <v>女性</v>
      </c>
      <c r="L641" s="65" t="str">
        <f>IFERROR(__xludf.DUMMYFUNCTION("GOOGLETRANSLATE(B641,""en"",""es"")"),"Femenino")</f>
        <v>Femenino</v>
      </c>
      <c r="M641" s="64" t="str">
        <f>IFERROR(__xludf.DUMMYFUNCTION("GOOGLETRANSLATE(B641,""en"",""iw"")"),"נְקֵבָה")</f>
        <v>נְקֵבָה</v>
      </c>
      <c r="N641" s="65" t="str">
        <f>IFERROR(__xludf.DUMMYFUNCTION("GOOGLETRANSLATE(B641,""en"",""bn"")"),"মহিলা")</f>
        <v>মহিলা</v>
      </c>
      <c r="O641" s="4" t="str">
        <f>IFERROR(__xludf.DUMMYFUNCTION("GOOGLETRANSLATE(B641,""en"",""pt"")"),"Fêmea")</f>
        <v>Fêmea</v>
      </c>
    </row>
    <row r="642">
      <c r="A642" s="88" t="s">
        <v>1492</v>
      </c>
      <c r="B642" s="91" t="s">
        <v>1493</v>
      </c>
      <c r="C642" s="64" t="str">
        <f>IFERROR(__xludf.DUMMYFUNCTION("GOOGLETRANSLATE(B642,""en"",""hi"")"),"अज्ञात")</f>
        <v>अज्ञात</v>
      </c>
      <c r="D642" s="65" t="str">
        <f>IFERROR(__xludf.DUMMYFUNCTION("GOOGLETRANSLATE(B642,""en"",""ar"")"),"مجهول")</f>
        <v>مجهول</v>
      </c>
      <c r="E642" s="65" t="str">
        <f>IFERROR(__xludf.DUMMYFUNCTION("GOOGLETRANSLATE(B642,""en"",""fr"")"),"Inconnu")</f>
        <v>Inconnu</v>
      </c>
      <c r="F642" s="65" t="str">
        <f>IFERROR(__xludf.DUMMYFUNCTION("GOOGLETRANSLATE(B642,""en"",""tr"")"),"Bilinmeyen")</f>
        <v>Bilinmeyen</v>
      </c>
      <c r="G642" s="65" t="str">
        <f>IFERROR(__xludf.DUMMYFUNCTION("GOOGLETRANSLATE(B642,""en"",""ru"")"),"Неизвестный")</f>
        <v>Неизвестный</v>
      </c>
      <c r="H642" s="65" t="str">
        <f>IFERROR(__xludf.DUMMYFUNCTION("GOOGLETRANSLATE(B642,""en"",""it"")"),"Sconosciuto")</f>
        <v>Sconosciuto</v>
      </c>
      <c r="I642" s="65" t="str">
        <f>IFERROR(__xludf.DUMMYFUNCTION("GOOGLETRANSLATE(B642,""en"",""de"")"),"Unbekannt")</f>
        <v>Unbekannt</v>
      </c>
      <c r="J642" s="65" t="str">
        <f>IFERROR(__xludf.DUMMYFUNCTION("GOOGLETRANSLATE(B642,""en"",""ko"")"),"알려지지 않은")</f>
        <v>알려지지 않은</v>
      </c>
      <c r="K642" s="65" t="str">
        <f>IFERROR(__xludf.DUMMYFUNCTION("GOOGLETRANSLATE(B642,""en"",""zh"")"),"未知")</f>
        <v>未知</v>
      </c>
      <c r="L642" s="65" t="str">
        <f>IFERROR(__xludf.DUMMYFUNCTION("GOOGLETRANSLATE(B642,""en"",""es"")"),"Desconocido")</f>
        <v>Desconocido</v>
      </c>
      <c r="M642" s="64" t="str">
        <f>IFERROR(__xludf.DUMMYFUNCTION("GOOGLETRANSLATE(B642,""en"",""iw"")"),"לֹא יְדוּעַ")</f>
        <v>לֹא יְדוּעַ</v>
      </c>
      <c r="N642" s="65" t="str">
        <f>IFERROR(__xludf.DUMMYFUNCTION("GOOGLETRANSLATE(B642,""en"",""bn"")"),"অজানা")</f>
        <v>অজানা</v>
      </c>
      <c r="O642" s="4" t="str">
        <f>IFERROR(__xludf.DUMMYFUNCTION("GOOGLETRANSLATE(B642,""en"",""pt"")"),"Desconhecido")</f>
        <v>Desconhecido</v>
      </c>
    </row>
    <row r="643">
      <c r="A643" s="88" t="s">
        <v>1494</v>
      </c>
      <c r="B643" s="91" t="s">
        <v>1495</v>
      </c>
      <c r="C643" s="64" t="str">
        <f>IFERROR(__xludf.DUMMYFUNCTION("GOOGLETRANSLATE(B643,""en"",""hi"")"),"लिंग")</f>
        <v>लिंग</v>
      </c>
      <c r="D643" s="65" t="str">
        <f>IFERROR(__xludf.DUMMYFUNCTION("GOOGLETRANSLATE(B643,""en"",""ar"")"),"جنس")</f>
        <v>جنس</v>
      </c>
      <c r="E643" s="65" t="str">
        <f>IFERROR(__xludf.DUMMYFUNCTION("GOOGLETRANSLATE(B643,""en"",""fr"")"),"Genre")</f>
        <v>Genre</v>
      </c>
      <c r="F643" s="65" t="str">
        <f>IFERROR(__xludf.DUMMYFUNCTION("GOOGLETRANSLATE(B643,""en"",""tr"")"),"Cinsiyet")</f>
        <v>Cinsiyet</v>
      </c>
      <c r="G643" s="65" t="str">
        <f>IFERROR(__xludf.DUMMYFUNCTION("GOOGLETRANSLATE(B643,""en"",""ru"")"),"Пол")</f>
        <v>Пол</v>
      </c>
      <c r="H643" s="65" t="str">
        <f>IFERROR(__xludf.DUMMYFUNCTION("GOOGLETRANSLATE(B643,""en"",""it"")"),"Genere")</f>
        <v>Genere</v>
      </c>
      <c r="I643" s="65" t="str">
        <f>IFERROR(__xludf.DUMMYFUNCTION("GOOGLETRANSLATE(B643,""en"",""de"")"),"Geschlecht")</f>
        <v>Geschlecht</v>
      </c>
      <c r="J643" s="65" t="str">
        <f>IFERROR(__xludf.DUMMYFUNCTION("GOOGLETRANSLATE(B643,""en"",""ko"")"),"성별")</f>
        <v>성별</v>
      </c>
      <c r="K643" s="65" t="str">
        <f>IFERROR(__xludf.DUMMYFUNCTION("GOOGLETRANSLATE(B643,""en"",""zh"")"),"性别")</f>
        <v>性别</v>
      </c>
      <c r="L643" s="65" t="str">
        <f>IFERROR(__xludf.DUMMYFUNCTION("GOOGLETRANSLATE(B643,""en"",""es"")"),"Género")</f>
        <v>Género</v>
      </c>
      <c r="M643" s="64" t="str">
        <f>IFERROR(__xludf.DUMMYFUNCTION("GOOGLETRANSLATE(B643,""en"",""iw"")"),"מִין")</f>
        <v>מִין</v>
      </c>
      <c r="N643" s="65" t="str">
        <f>IFERROR(__xludf.DUMMYFUNCTION("GOOGLETRANSLATE(B643,""en"",""bn"")"),"লিঙ্গ")</f>
        <v>লিঙ্গ</v>
      </c>
      <c r="O643" s="4" t="str">
        <f>IFERROR(__xludf.DUMMYFUNCTION("GOOGLETRANSLATE(B643,""en"",""pt"")"),"Gênero")</f>
        <v>Gênero</v>
      </c>
    </row>
    <row r="644">
      <c r="A644" s="88" t="s">
        <v>1496</v>
      </c>
      <c r="B644" s="91" t="s">
        <v>1497</v>
      </c>
      <c r="C644" s="64" t="str">
        <f>IFERROR(__xludf.DUMMYFUNCTION("GOOGLETRANSLATE(B644,""en"",""hi"")"),"निर्दिष्ट नहीं है")</f>
        <v>निर्दिष्ट नहीं है</v>
      </c>
      <c r="D644" s="65" t="str">
        <f>IFERROR(__xludf.DUMMYFUNCTION("GOOGLETRANSLATE(B644,""en"",""ar"")"),"غير محدد")</f>
        <v>غير محدد</v>
      </c>
      <c r="E644" s="65" t="str">
        <f>IFERROR(__xludf.DUMMYFUNCTION("GOOGLETRANSLATE(B644,""en"",""fr"")"),"Non spécifié")</f>
        <v>Non spécifié</v>
      </c>
      <c r="F644" s="65" t="str">
        <f>IFERROR(__xludf.DUMMYFUNCTION("GOOGLETRANSLATE(B644,""en"",""tr"")"),"Belirtilmemiş")</f>
        <v>Belirtilmemiş</v>
      </c>
      <c r="G644" s="65" t="str">
        <f>IFERROR(__xludf.DUMMYFUNCTION("GOOGLETRANSLATE(B644,""en"",""ru"")"),"Не указан")</f>
        <v>Не указан</v>
      </c>
      <c r="H644" s="65" t="str">
        <f>IFERROR(__xludf.DUMMYFUNCTION("GOOGLETRANSLATE(B644,""en"",""it"")"),"Non specificato")</f>
        <v>Non specificato</v>
      </c>
      <c r="I644" s="65" t="str">
        <f>IFERROR(__xludf.DUMMYFUNCTION("GOOGLETRANSLATE(B644,""en"",""de"")"),"Nicht angegeben")</f>
        <v>Nicht angegeben</v>
      </c>
      <c r="J644" s="65" t="str">
        <f>IFERROR(__xludf.DUMMYFUNCTION("GOOGLETRANSLATE(B644,""en"",""ko"")"),"지정되지 않음")</f>
        <v>지정되지 않음</v>
      </c>
      <c r="K644" s="65" t="str">
        <f>IFERROR(__xludf.DUMMYFUNCTION("GOOGLETRANSLATE(B644,""en"",""zh"")"),"未指定")</f>
        <v>未指定</v>
      </c>
      <c r="L644" s="65" t="str">
        <f>IFERROR(__xludf.DUMMYFUNCTION("GOOGLETRANSLATE(B644,""en"",""es"")"),"No especificado")</f>
        <v>No especificado</v>
      </c>
      <c r="M644" s="64" t="str">
        <f>IFERROR(__xludf.DUMMYFUNCTION("GOOGLETRANSLATE(B644,""en"",""iw"")"),"לא צוין")</f>
        <v>לא צוין</v>
      </c>
      <c r="N644" s="65" t="str">
        <f>IFERROR(__xludf.DUMMYFUNCTION("GOOGLETRANSLATE(B644,""en"",""bn"")"),"নির্দিষ্ট করা হয়নি")</f>
        <v>নির্দিষ্ট করা হয়নি</v>
      </c>
      <c r="O644" s="4" t="str">
        <f>IFERROR(__xludf.DUMMYFUNCTION("GOOGLETRANSLATE(B644,""en"",""pt"")"),"Não especificado")</f>
        <v>Não especificado</v>
      </c>
    </row>
    <row r="645">
      <c r="A645" s="88" t="s">
        <v>1498</v>
      </c>
      <c r="B645" s="91" t="s">
        <v>1499</v>
      </c>
      <c r="C645" s="64" t="str">
        <f>IFERROR(__xludf.DUMMYFUNCTION("GOOGLETRANSLATE(B645,""en"",""hi"")"),"है मैं")</f>
        <v>है मैं</v>
      </c>
      <c r="D645" s="65" t="str">
        <f>IFERROR(__xludf.DUMMYFUNCTION("GOOGLETRANSLATE(B645,""en"",""ar"")"),"يو بي آي")</f>
        <v>يو بي آي</v>
      </c>
      <c r="E645" s="65" t="str">
        <f>IFERROR(__xludf.DUMMYFUNCTION("GOOGLETRANSLATE(B645,""en"",""fr"")"),"UPI")</f>
        <v>UPI</v>
      </c>
      <c r="F645" s="65" t="str">
        <f>IFERROR(__xludf.DUMMYFUNCTION("GOOGLETRANSLATE(B645,""en"",""tr"")"),"UPI")</f>
        <v>UPI</v>
      </c>
      <c r="G645" s="65" t="str">
        <f>IFERROR(__xludf.DUMMYFUNCTION("GOOGLETRANSLATE(B645,""en"",""ru"")"),"ЮПИ")</f>
        <v>ЮПИ</v>
      </c>
      <c r="H645" s="65" t="str">
        <f>IFERROR(__xludf.DUMMYFUNCTION("GOOGLETRANSLATE(B645,""en"",""it"")"),"UPI")</f>
        <v>UPI</v>
      </c>
      <c r="I645" s="65" t="str">
        <f>IFERROR(__xludf.DUMMYFUNCTION("GOOGLETRANSLATE(B645,""en"",""de"")"),"UPI")</f>
        <v>UPI</v>
      </c>
      <c r="J645" s="65" t="str">
        <f>IFERROR(__xludf.DUMMYFUNCTION("GOOGLETRANSLATE(B645,""en"",""ko"")"),"유피에이")</f>
        <v>유피에이</v>
      </c>
      <c r="K645" s="65" t="str">
        <f>IFERROR(__xludf.DUMMYFUNCTION("GOOGLETRANSLATE(B645,""en"",""zh"")"),"合众国际社")</f>
        <v>合众国际社</v>
      </c>
      <c r="L645" s="65" t="str">
        <f>IFERROR(__xludf.DUMMYFUNCTION("GOOGLETRANSLATE(B645,""en"",""es"")"),"UPI")</f>
        <v>UPI</v>
      </c>
      <c r="M645" s="64" t="str">
        <f>IFERROR(__xludf.DUMMYFUNCTION("GOOGLETRANSLATE(B645,""en"",""iw"")"),"UPI")</f>
        <v>UPI</v>
      </c>
      <c r="N645" s="65" t="str">
        <f>IFERROR(__xludf.DUMMYFUNCTION("GOOGLETRANSLATE(B645,""en"",""bn"")"),"ইউপিআই")</f>
        <v>ইউপিআই</v>
      </c>
      <c r="O645" s="4" t="str">
        <f>IFERROR(__xludf.DUMMYFUNCTION("GOOGLETRANSLATE(B645,""en"",""pt"")"),"UPI")</f>
        <v>UPI</v>
      </c>
    </row>
    <row r="646">
      <c r="A646" s="88" t="s">
        <v>1500</v>
      </c>
      <c r="B646" s="91" t="s">
        <v>1501</v>
      </c>
      <c r="C646" s="64" t="str">
        <f>IFERROR(__xludf.DUMMYFUNCTION("GOOGLETRANSLATE(B646,""en"",""hi"")"),"पालतू जानवर")</f>
        <v>पालतू जानवर</v>
      </c>
      <c r="D646" s="65" t="str">
        <f>IFERROR(__xludf.DUMMYFUNCTION("GOOGLETRANSLATE(B646,""en"",""ar"")"),"حيوانات أليفة")</f>
        <v>حيوانات أليفة</v>
      </c>
      <c r="E646" s="65" t="str">
        <f>IFERROR(__xludf.DUMMYFUNCTION("GOOGLETRANSLATE(B646,""en"",""fr"")"),"Animaux de compagnie")</f>
        <v>Animaux de compagnie</v>
      </c>
      <c r="F646" s="65" t="str">
        <f>IFERROR(__xludf.DUMMYFUNCTION("GOOGLETRANSLATE(B646,""en"",""tr"")"),"Evcil Hayvanlar")</f>
        <v>Evcil Hayvanlar</v>
      </c>
      <c r="G646" s="65" t="str">
        <f>IFERROR(__xludf.DUMMYFUNCTION("GOOGLETRANSLATE(B646,""en"",""ru"")"),"Домашние животные")</f>
        <v>Домашние животные</v>
      </c>
      <c r="H646" s="65" t="str">
        <f>IFERROR(__xludf.DUMMYFUNCTION("GOOGLETRANSLATE(B646,""en"",""it"")"),"Animali domestici")</f>
        <v>Animali domestici</v>
      </c>
      <c r="I646" s="65" t="str">
        <f>IFERROR(__xludf.DUMMYFUNCTION("GOOGLETRANSLATE(B646,""en"",""de"")"),"Haustiere")</f>
        <v>Haustiere</v>
      </c>
      <c r="J646" s="65" t="str">
        <f>IFERROR(__xludf.DUMMYFUNCTION("GOOGLETRANSLATE(B646,""en"",""ko"")"),"애완동물")</f>
        <v>애완동물</v>
      </c>
      <c r="K646" s="65" t="str">
        <f>IFERROR(__xludf.DUMMYFUNCTION("GOOGLETRANSLATE(B646,""en"",""zh"")"),"宠物")</f>
        <v>宠物</v>
      </c>
      <c r="L646" s="65" t="str">
        <f>IFERROR(__xludf.DUMMYFUNCTION("GOOGLETRANSLATE(B646,""en"",""es"")"),"Mascotas")</f>
        <v>Mascotas</v>
      </c>
      <c r="M646" s="64" t="str">
        <f>IFERROR(__xludf.DUMMYFUNCTION("GOOGLETRANSLATE(B646,""en"",""iw"")"),"חיות מחמד")</f>
        <v>חיות מחמד</v>
      </c>
      <c r="N646" s="65" t="str">
        <f>IFERROR(__xludf.DUMMYFUNCTION("GOOGLETRANSLATE(B646,""en"",""bn"")"),"পোষা প্রাণী")</f>
        <v>পোষা প্রাণী</v>
      </c>
      <c r="O646" s="4" t="str">
        <f>IFERROR(__xludf.DUMMYFUNCTION("GOOGLETRANSLATE(B646,""en"",""pt"")"),"Animais de estimação")</f>
        <v>Animais de estimação</v>
      </c>
    </row>
    <row r="647">
      <c r="A647" s="88" t="s">
        <v>1502</v>
      </c>
      <c r="B647" s="91" t="s">
        <v>1503</v>
      </c>
      <c r="C647" s="64" t="str">
        <f>IFERROR(__xludf.DUMMYFUNCTION("GOOGLETRANSLATE(B647,""en"",""hi"")"),"सामान")</f>
        <v>सामान</v>
      </c>
      <c r="D647" s="65" t="str">
        <f>IFERROR(__xludf.DUMMYFUNCTION("GOOGLETRANSLATE(B647,""en"",""ar"")"),"الأمتعة")</f>
        <v>الأمتعة</v>
      </c>
      <c r="E647" s="65" t="str">
        <f>IFERROR(__xludf.DUMMYFUNCTION("GOOGLETRANSLATE(B647,""en"",""fr"")"),"Bagages")</f>
        <v>Bagages</v>
      </c>
      <c r="F647" s="65" t="str">
        <f>IFERROR(__xludf.DUMMYFUNCTION("GOOGLETRANSLATE(B647,""en"",""tr"")"),"Bagajlar")</f>
        <v>Bagajlar</v>
      </c>
      <c r="G647" s="65" t="str">
        <f>IFERROR(__xludf.DUMMYFUNCTION("GOOGLETRANSLATE(B647,""en"",""ru"")"),"Багажи")</f>
        <v>Багажи</v>
      </c>
      <c r="H647" s="65" t="str">
        <f>IFERROR(__xludf.DUMMYFUNCTION("GOOGLETRANSLATE(B647,""en"",""it"")"),"Bagagli")</f>
        <v>Bagagli</v>
      </c>
      <c r="I647" s="65" t="str">
        <f>IFERROR(__xludf.DUMMYFUNCTION("GOOGLETRANSLATE(B647,""en"",""de"")"),"Gepäck")</f>
        <v>Gepäck</v>
      </c>
      <c r="J647" s="65" t="str">
        <f>IFERROR(__xludf.DUMMYFUNCTION("GOOGLETRANSLATE(B647,""en"",""ko"")"),"짐")</f>
        <v>짐</v>
      </c>
      <c r="K647" s="65" t="str">
        <f>IFERROR(__xludf.DUMMYFUNCTION("GOOGLETRANSLATE(B647,""en"",""zh"")"),"行李")</f>
        <v>行李</v>
      </c>
      <c r="L647" s="65" t="str">
        <f>IFERROR(__xludf.DUMMYFUNCTION("GOOGLETRANSLATE(B647,""en"",""es"")"),"Equipajes")</f>
        <v>Equipajes</v>
      </c>
      <c r="M647" s="64" t="str">
        <f>IFERROR(__xludf.DUMMYFUNCTION("GOOGLETRANSLATE(B647,""en"",""iw"")"),"מזוודות")</f>
        <v>מזוודות</v>
      </c>
      <c r="N647" s="65" t="str">
        <f>IFERROR(__xludf.DUMMYFUNCTION("GOOGLETRANSLATE(B647,""en"",""bn"")"),"লাগেজ")</f>
        <v>লাগেজ</v>
      </c>
      <c r="O647" s="4" t="str">
        <f>IFERROR(__xludf.DUMMYFUNCTION("GOOGLETRANSLATE(B647,""en"",""pt"")"),"Bagagens")</f>
        <v>Bagagens</v>
      </c>
    </row>
    <row r="648">
      <c r="A648" s="88" t="s">
        <v>1504</v>
      </c>
      <c r="B648" s="91" t="s">
        <v>1505</v>
      </c>
      <c r="C648" s="64" t="str">
        <f>IFERROR(__xludf.DUMMYFUNCTION("GOOGLETRANSLATE(B648,""en"",""hi"")"),"सवारी प्राथमिकताएँ")</f>
        <v>सवारी प्राथमिकताएँ</v>
      </c>
      <c r="D648" s="65" t="str">
        <f>IFERROR(__xludf.DUMMYFUNCTION("GOOGLETRANSLATE(B648,""en"",""ar"")"),"تفضيلات الركوب")</f>
        <v>تفضيلات الركوب</v>
      </c>
      <c r="E648" s="65" t="str">
        <f>IFERROR(__xludf.DUMMYFUNCTION("GOOGLETRANSLATE(B648,""en"",""fr"")"),"Préférences de trajet")</f>
        <v>Préférences de trajet</v>
      </c>
      <c r="F648" s="65" t="str">
        <f>IFERROR(__xludf.DUMMYFUNCTION("GOOGLETRANSLATE(B648,""en"",""tr"")"),"Sürüş Tercihleri")</f>
        <v>Sürüş Tercihleri</v>
      </c>
      <c r="G648" s="65" t="str">
        <f>IFERROR(__xludf.DUMMYFUNCTION("GOOGLETRANSLATE(B648,""en"",""ru"")"),"Настройки поездки")</f>
        <v>Настройки поездки</v>
      </c>
      <c r="H648" s="65" t="str">
        <f>IFERROR(__xludf.DUMMYFUNCTION("GOOGLETRANSLATE(B648,""en"",""it"")"),"Preferenze di guida")</f>
        <v>Preferenze di guida</v>
      </c>
      <c r="I648" s="65" t="str">
        <f>IFERROR(__xludf.DUMMYFUNCTION("GOOGLETRANSLATE(B648,""en"",""de"")"),"Fahrpräferenzen")</f>
        <v>Fahrpräferenzen</v>
      </c>
      <c r="J648" s="65" t="str">
        <f>IFERROR(__xludf.DUMMYFUNCTION("GOOGLETRANSLATE(B648,""en"",""ko"")"),"라이드 선호도")</f>
        <v>라이드 선호도</v>
      </c>
      <c r="K648" s="65" t="str">
        <f>IFERROR(__xludf.DUMMYFUNCTION("GOOGLETRANSLATE(B648,""en"",""zh"")"),"乘车偏好")</f>
        <v>乘车偏好</v>
      </c>
      <c r="L648" s="65" t="str">
        <f>IFERROR(__xludf.DUMMYFUNCTION("GOOGLETRANSLATE(B648,""en"",""es"")"),"Preferencias de viaje")</f>
        <v>Preferencias de viaje</v>
      </c>
      <c r="M648" s="64" t="str">
        <f>IFERROR(__xludf.DUMMYFUNCTION("GOOGLETRANSLATE(B648,""en"",""iw"")"),"העדפות נסיעה")</f>
        <v>העדפות נסיעה</v>
      </c>
      <c r="N648" s="65" t="str">
        <f>IFERROR(__xludf.DUMMYFUNCTION("GOOGLETRANSLATE(B648,""en"",""bn"")"),"রাইড পছন্দ")</f>
        <v>রাইড পছন্দ</v>
      </c>
      <c r="O648" s="4" t="str">
        <f>IFERROR(__xludf.DUMMYFUNCTION("GOOGLETRANSLATE(B648,""en"",""pt"")"),"Preferências de viagem")</f>
        <v>Preferências de viagem</v>
      </c>
    </row>
    <row r="649">
      <c r="A649" s="88" t="s">
        <v>1506</v>
      </c>
      <c r="B649" s="91" t="s">
        <v>1507</v>
      </c>
      <c r="C649" s="64" t="str">
        <f>IFERROR(__xludf.DUMMYFUNCTION("GOOGLETRANSLATE(B649,""en"",""hi"")"),"प्राथमिकताएँ चुनें")</f>
        <v>प्राथमिकताएँ चुनें</v>
      </c>
      <c r="D649" s="65" t="str">
        <f>IFERROR(__xludf.DUMMYFUNCTION("GOOGLETRANSLATE(B649,""en"",""ar"")"),"اختر التفضيلات")</f>
        <v>اختر التفضيلات</v>
      </c>
      <c r="E649" s="65" t="str">
        <f>IFERROR(__xludf.DUMMYFUNCTION("GOOGLETRANSLATE(B649,""en"",""fr"")"),"Choisissez les préférences")</f>
        <v>Choisissez les préférences</v>
      </c>
      <c r="F649" s="65" t="str">
        <f>IFERROR(__xludf.DUMMYFUNCTION("GOOGLETRANSLATE(B649,""en"",""tr"")"),"Tercihleri Seçin")</f>
        <v>Tercihleri Seçin</v>
      </c>
      <c r="G649" s="65" t="str">
        <f>IFERROR(__xludf.DUMMYFUNCTION("GOOGLETRANSLATE(B649,""en"",""ru"")"),"Выберите «Настройки»")</f>
        <v>Выберите «Настройки»</v>
      </c>
      <c r="H649" s="65" t="str">
        <f>IFERROR(__xludf.DUMMYFUNCTION("GOOGLETRANSLATE(B649,""en"",""it"")"),"Scegli Preferenze")</f>
        <v>Scegli Preferenze</v>
      </c>
      <c r="I649" s="65" t="str">
        <f>IFERROR(__xludf.DUMMYFUNCTION("GOOGLETRANSLATE(B649,""en"",""de"")"),"Wählen Sie Einstellungen")</f>
        <v>Wählen Sie Einstellungen</v>
      </c>
      <c r="J649" s="65" t="str">
        <f>IFERROR(__xludf.DUMMYFUNCTION("GOOGLETRANSLATE(B649,""en"",""ko"")"),"환경 설정 선택")</f>
        <v>환경 설정 선택</v>
      </c>
      <c r="K649" s="65" t="str">
        <f>IFERROR(__xludf.DUMMYFUNCTION("GOOGLETRANSLATE(B649,""en"",""zh"")"),"选择偏好设置")</f>
        <v>选择偏好设置</v>
      </c>
      <c r="L649" s="65" t="str">
        <f>IFERROR(__xludf.DUMMYFUNCTION("GOOGLETRANSLATE(B649,""en"",""es"")"),"Seleccione Preferencias")</f>
        <v>Seleccione Preferencias</v>
      </c>
      <c r="M649" s="64" t="str">
        <f>IFERROR(__xludf.DUMMYFUNCTION("GOOGLETRANSLATE(B649,""en"",""iw"")"),"בחר העדפות")</f>
        <v>בחר העדפות</v>
      </c>
      <c r="N649" s="65" t="str">
        <f>IFERROR(__xludf.DUMMYFUNCTION("GOOGLETRANSLATE(B649,""en"",""bn"")"),"পছন্দ নির্বাচন করুন")</f>
        <v>পছন্দ নির্বাচন করুন</v>
      </c>
      <c r="O649" s="4" t="str">
        <f>IFERROR(__xludf.DUMMYFUNCTION("GOOGLETRANSLATE(B649,""en"",""pt"")"),"Escolha Preferências")</f>
        <v>Escolha Preferências</v>
      </c>
    </row>
    <row r="650">
      <c r="A650" s="88" t="s">
        <v>1508</v>
      </c>
      <c r="B650" s="91" t="s">
        <v>1509</v>
      </c>
      <c r="C650" s="64" t="str">
        <f>IFERROR(__xludf.DUMMYFUNCTION("GOOGLETRANSLATE(B650,""en"",""hi"")"),"हाल की खोजें")</f>
        <v>हाल की खोजें</v>
      </c>
      <c r="D650" s="65" t="str">
        <f>IFERROR(__xludf.DUMMYFUNCTION("GOOGLETRANSLATE(B650,""en"",""ar"")"),"عمليات البحث الأخيرة")</f>
        <v>عمليات البحث الأخيرة</v>
      </c>
      <c r="E650" s="65" t="str">
        <f>IFERROR(__xludf.DUMMYFUNCTION("GOOGLETRANSLATE(B650,""en"",""fr"")"),"Recherches récentes")</f>
        <v>Recherches récentes</v>
      </c>
      <c r="F650" s="65" t="str">
        <f>IFERROR(__xludf.DUMMYFUNCTION("GOOGLETRANSLATE(B650,""en"",""tr"")"),"Son Aramalar")</f>
        <v>Son Aramalar</v>
      </c>
      <c r="G650" s="65" t="str">
        <f>IFERROR(__xludf.DUMMYFUNCTION("GOOGLETRANSLATE(B650,""en"",""ru"")"),"Недавние поиски")</f>
        <v>Недавние поиски</v>
      </c>
      <c r="H650" s="65" t="str">
        <f>IFERROR(__xludf.DUMMYFUNCTION("GOOGLETRANSLATE(B650,""en"",""it"")"),"Ricerche recenti")</f>
        <v>Ricerche recenti</v>
      </c>
      <c r="I650" s="65" t="str">
        <f>IFERROR(__xludf.DUMMYFUNCTION("GOOGLETRANSLATE(B650,""en"",""de"")"),"Kürzlich durchgeführte Suchen")</f>
        <v>Kürzlich durchgeführte Suchen</v>
      </c>
      <c r="J650" s="65" t="str">
        <f>IFERROR(__xludf.DUMMYFUNCTION("GOOGLETRANSLATE(B650,""en"",""ko"")"),"최근 검색")</f>
        <v>최근 검색</v>
      </c>
      <c r="K650" s="65" t="str">
        <f>IFERROR(__xludf.DUMMYFUNCTION("GOOGLETRANSLATE(B650,""en"",""zh"")"),"近期搜索")</f>
        <v>近期搜索</v>
      </c>
      <c r="L650" s="65" t="str">
        <f>IFERROR(__xludf.DUMMYFUNCTION("GOOGLETRANSLATE(B650,""en"",""es"")"),"Búsquedas recientes")</f>
        <v>Búsquedas recientes</v>
      </c>
      <c r="M650" s="64" t="str">
        <f>IFERROR(__xludf.DUMMYFUNCTION("GOOGLETRANSLATE(B650,""en"",""iw"")"),"חיפושים אחרונים")</f>
        <v>חיפושים אחרונים</v>
      </c>
      <c r="N650" s="65" t="str">
        <f>IFERROR(__xludf.DUMMYFUNCTION("GOOGLETRANSLATE(B650,""en"",""bn"")"),"সাম্প্রতিক অনুসন্ধান")</f>
        <v>সাম্প্রতিক অনুসন্ধান</v>
      </c>
      <c r="O650" s="4" t="str">
        <f>IFERROR(__xludf.DUMMYFUNCTION("GOOGLETRANSLATE(B650,""en"",""pt"")"),"Pesquisas recentes")</f>
        <v>Pesquisas recentes</v>
      </c>
    </row>
    <row r="651">
      <c r="A651" s="88" t="s">
        <v>1510</v>
      </c>
      <c r="B651" s="91" t="s">
        <v>1511</v>
      </c>
      <c r="C651" s="64" t="str">
        <f>IFERROR(__xludf.DUMMYFUNCTION("GOOGLETRANSLATE(B651,""en"",""hi"")"),"मानचित्र")</f>
        <v>मानचित्र</v>
      </c>
      <c r="D651" s="65" t="str">
        <f>IFERROR(__xludf.DUMMYFUNCTION("GOOGLETRANSLATE(B651,""en"",""ar"")"),"رسم خريطة")</f>
        <v>رسم خريطة</v>
      </c>
      <c r="E651" s="65" t="str">
        <f>IFERROR(__xludf.DUMMYFUNCTION("GOOGLETRANSLATE(B651,""en"",""fr"")"),"Carte")</f>
        <v>Carte</v>
      </c>
      <c r="F651" s="65" t="str">
        <f>IFERROR(__xludf.DUMMYFUNCTION("GOOGLETRANSLATE(B651,""en"",""tr"")"),"Harita")</f>
        <v>Harita</v>
      </c>
      <c r="G651" s="65" t="str">
        <f>IFERROR(__xludf.DUMMYFUNCTION("GOOGLETRANSLATE(B651,""en"",""ru"")"),"Карта")</f>
        <v>Карта</v>
      </c>
      <c r="H651" s="65" t="str">
        <f>IFERROR(__xludf.DUMMYFUNCTION("GOOGLETRANSLATE(B651,""en"",""it"")"),"Mappa")</f>
        <v>Mappa</v>
      </c>
      <c r="I651" s="65" t="str">
        <f>IFERROR(__xludf.DUMMYFUNCTION("GOOGLETRANSLATE(B651,""en"",""de"")"),"Karte")</f>
        <v>Karte</v>
      </c>
      <c r="J651" s="65" t="str">
        <f>IFERROR(__xludf.DUMMYFUNCTION("GOOGLETRANSLATE(B651,""en"",""ko"")"),"지도")</f>
        <v>지도</v>
      </c>
      <c r="K651" s="65" t="str">
        <f>IFERROR(__xludf.DUMMYFUNCTION("GOOGLETRANSLATE(B651,""en"",""zh"")"),"地图")</f>
        <v>地图</v>
      </c>
      <c r="L651" s="65" t="str">
        <f>IFERROR(__xludf.DUMMYFUNCTION("GOOGLETRANSLATE(B651,""en"",""es"")"),"Mapa")</f>
        <v>Mapa</v>
      </c>
      <c r="M651" s="64" t="str">
        <f>IFERROR(__xludf.DUMMYFUNCTION("GOOGLETRANSLATE(B651,""en"",""iw"")"),"מַפָּה")</f>
        <v>מַפָּה</v>
      </c>
      <c r="N651" s="65" t="str">
        <f>IFERROR(__xludf.DUMMYFUNCTION("GOOGLETRANSLATE(B651,""en"",""bn"")"),"মানচিত্র")</f>
        <v>মানচিত্র</v>
      </c>
      <c r="O651" s="4" t="str">
        <f>IFERROR(__xludf.DUMMYFUNCTION("GOOGLETRANSLATE(B651,""en"",""pt"")"),"Mapa")</f>
        <v>Mapa</v>
      </c>
    </row>
    <row r="652">
      <c r="A652" s="88" t="s">
        <v>1512</v>
      </c>
      <c r="B652" s="91" t="s">
        <v>1513</v>
      </c>
      <c r="C652" s="64" t="str">
        <f>IFERROR(__xludf.DUMMYFUNCTION("GOOGLETRANSLATE(B652,""en"",""hi"")"),"बूँद")</f>
        <v>बूँद</v>
      </c>
      <c r="D652" s="65" t="str">
        <f>IFERROR(__xludf.DUMMYFUNCTION("GOOGLETRANSLATE(B652,""en"",""ar"")"),"يسقط")</f>
        <v>يسقط</v>
      </c>
      <c r="E652" s="65" t="str">
        <f>IFERROR(__xludf.DUMMYFUNCTION("GOOGLETRANSLATE(B652,""en"",""fr"")"),"Baisse")</f>
        <v>Baisse</v>
      </c>
      <c r="F652" s="65" t="str">
        <f>IFERROR(__xludf.DUMMYFUNCTION("GOOGLETRANSLATE(B652,""en"",""tr"")"),"Düşürmek")</f>
        <v>Düşürmek</v>
      </c>
      <c r="G652" s="65" t="str">
        <f>IFERROR(__xludf.DUMMYFUNCTION("GOOGLETRANSLATE(B652,""en"",""ru"")"),"Уронить")</f>
        <v>Уронить</v>
      </c>
      <c r="H652" s="65" t="str">
        <f>IFERROR(__xludf.DUMMYFUNCTION("GOOGLETRANSLATE(B652,""en"",""it"")"),"Gocciolare")</f>
        <v>Gocciolare</v>
      </c>
      <c r="I652" s="65" t="str">
        <f>IFERROR(__xludf.DUMMYFUNCTION("GOOGLETRANSLATE(B652,""en"",""de"")"),"Fallen")</f>
        <v>Fallen</v>
      </c>
      <c r="J652" s="65" t="str">
        <f>IFERROR(__xludf.DUMMYFUNCTION("GOOGLETRANSLATE(B652,""en"",""ko"")"),"떨어지다")</f>
        <v>떨어지다</v>
      </c>
      <c r="K652" s="65" t="str">
        <f>IFERROR(__xludf.DUMMYFUNCTION("GOOGLETRANSLATE(B652,""en"",""zh"")"),"降低")</f>
        <v>降低</v>
      </c>
      <c r="L652" s="65" t="str">
        <f>IFERROR(__xludf.DUMMYFUNCTION("GOOGLETRANSLATE(B652,""en"",""es"")"),"Gota")</f>
        <v>Gota</v>
      </c>
      <c r="M652" s="64" t="str">
        <f>IFERROR(__xludf.DUMMYFUNCTION("GOOGLETRANSLATE(B652,""en"",""iw"")"),"יְרִידָה")</f>
        <v>יְרִידָה</v>
      </c>
      <c r="N652" s="65" t="str">
        <f>IFERROR(__xludf.DUMMYFUNCTION("GOOGLETRANSLATE(B652,""en"",""bn"")"),"ড্রপ")</f>
        <v>ড্রপ</v>
      </c>
      <c r="O652" s="4" t="str">
        <f>IFERROR(__xludf.DUMMYFUNCTION("GOOGLETRANSLATE(B652,""en"",""pt"")"),"Derrubar")</f>
        <v>Derrubar</v>
      </c>
    </row>
    <row r="653">
      <c r="A653" s="88" t="s">
        <v>1514</v>
      </c>
      <c r="B653" s="91" t="s">
        <v>1515</v>
      </c>
      <c r="C653" s="64" t="str">
        <f>IFERROR(__xludf.DUMMYFUNCTION("GOOGLETRANSLATE(B653,""en"",""hi"")"),"रुकना")</f>
        <v>रुकना</v>
      </c>
      <c r="D653" s="65" t="str">
        <f>IFERROR(__xludf.DUMMYFUNCTION("GOOGLETRANSLATE(B653,""en"",""ar"")"),"قف")</f>
        <v>قف</v>
      </c>
      <c r="E653" s="65" t="str">
        <f>IFERROR(__xludf.DUMMYFUNCTION("GOOGLETRANSLATE(B653,""en"",""fr"")"),"Arrêt")</f>
        <v>Arrêt</v>
      </c>
      <c r="F653" s="65" t="str">
        <f>IFERROR(__xludf.DUMMYFUNCTION("GOOGLETRANSLATE(B653,""en"",""tr"")"),"Durmak")</f>
        <v>Durmak</v>
      </c>
      <c r="G653" s="65" t="str">
        <f>IFERROR(__xludf.DUMMYFUNCTION("GOOGLETRANSLATE(B653,""en"",""ru"")"),"Останавливаться")</f>
        <v>Останавливаться</v>
      </c>
      <c r="H653" s="65" t="str">
        <f>IFERROR(__xludf.DUMMYFUNCTION("GOOGLETRANSLATE(B653,""en"",""it"")"),"Fermare")</f>
        <v>Fermare</v>
      </c>
      <c r="I653" s="65" t="str">
        <f>IFERROR(__xludf.DUMMYFUNCTION("GOOGLETRANSLATE(B653,""en"",""de"")"),"Stoppen")</f>
        <v>Stoppen</v>
      </c>
      <c r="J653" s="65" t="str">
        <f>IFERROR(__xludf.DUMMYFUNCTION("GOOGLETRANSLATE(B653,""en"",""ko"")"),"멈추다")</f>
        <v>멈추다</v>
      </c>
      <c r="K653" s="65" t="str">
        <f>IFERROR(__xludf.DUMMYFUNCTION("GOOGLETRANSLATE(B653,""en"",""zh"")"),"停止")</f>
        <v>停止</v>
      </c>
      <c r="L653" s="65" t="str">
        <f>IFERROR(__xludf.DUMMYFUNCTION("GOOGLETRANSLATE(B653,""en"",""es"")"),"Detener")</f>
        <v>Detener</v>
      </c>
      <c r="M653" s="64" t="str">
        <f>IFERROR(__xludf.DUMMYFUNCTION("GOOGLETRANSLATE(B653,""en"",""iw"")"),"לְהַפְסִיק")</f>
        <v>לְהַפְסִיק</v>
      </c>
      <c r="N653" s="65" t="str">
        <f>IFERROR(__xludf.DUMMYFUNCTION("GOOGLETRANSLATE(B653,""en"",""bn"")"),"থামো")</f>
        <v>থামো</v>
      </c>
      <c r="O653" s="4" t="str">
        <f>IFERROR(__xludf.DUMMYFUNCTION("GOOGLETRANSLATE(B653,""en"",""pt"")"),"Parar")</f>
        <v>Parar</v>
      </c>
    </row>
    <row r="654">
      <c r="A654" s="88" t="s">
        <v>1516</v>
      </c>
      <c r="B654" s="91" t="s">
        <v>1517</v>
      </c>
      <c r="C654" s="64" t="str">
        <f>IFERROR(__xludf.DUMMYFUNCTION("GOOGLETRANSLATE(B654,""en"",""hi"")"),"उठाना")</f>
        <v>उठाना</v>
      </c>
      <c r="D654" s="65" t="str">
        <f>IFERROR(__xludf.DUMMYFUNCTION("GOOGLETRANSLATE(B654,""en"",""ar"")"),"يلتقط")</f>
        <v>يلتقط</v>
      </c>
      <c r="E654" s="65" t="str">
        <f>IFERROR(__xludf.DUMMYFUNCTION("GOOGLETRANSLATE(B654,""en"",""fr"")"),"Ramasser")</f>
        <v>Ramasser</v>
      </c>
      <c r="F654" s="65" t="str">
        <f>IFERROR(__xludf.DUMMYFUNCTION("GOOGLETRANSLATE(B654,""en"",""tr"")"),"Toplamak")</f>
        <v>Toplamak</v>
      </c>
      <c r="G654" s="65" t="str">
        <f>IFERROR(__xludf.DUMMYFUNCTION("GOOGLETRANSLATE(B654,""en"",""ru"")"),"Подобрать")</f>
        <v>Подобрать</v>
      </c>
      <c r="H654" s="65" t="str">
        <f>IFERROR(__xludf.DUMMYFUNCTION("GOOGLETRANSLATE(B654,""en"",""it"")"),"Raccolta")</f>
        <v>Raccolta</v>
      </c>
      <c r="I654" s="65" t="str">
        <f>IFERROR(__xludf.DUMMYFUNCTION("GOOGLETRANSLATE(B654,""en"",""de"")"),"Abholen")</f>
        <v>Abholen</v>
      </c>
      <c r="J654" s="65" t="str">
        <f>IFERROR(__xludf.DUMMYFUNCTION("GOOGLETRANSLATE(B654,""en"",""ko"")"),"찾다")</f>
        <v>찾다</v>
      </c>
      <c r="K654" s="65" t="str">
        <f>IFERROR(__xludf.DUMMYFUNCTION("GOOGLETRANSLATE(B654,""en"",""zh"")"),"捡起")</f>
        <v>捡起</v>
      </c>
      <c r="L654" s="65" t="str">
        <f>IFERROR(__xludf.DUMMYFUNCTION("GOOGLETRANSLATE(B654,""en"",""es"")"),"Levantar")</f>
        <v>Levantar</v>
      </c>
      <c r="M654" s="64" t="str">
        <f>IFERROR(__xludf.DUMMYFUNCTION("GOOGLETRANSLATE(B654,""en"",""iw"")"),"איסוף")</f>
        <v>איסוף</v>
      </c>
      <c r="N654" s="65" t="str">
        <f>IFERROR(__xludf.DUMMYFUNCTION("GOOGLETRANSLATE(B654,""en"",""bn"")"),"পিকআপ")</f>
        <v>পিকআপ</v>
      </c>
      <c r="O654" s="4" t="str">
        <f>IFERROR(__xludf.DUMMYFUNCTION("GOOGLETRANSLATE(B654,""en"",""pt"")"),"Escolher")</f>
        <v>Escolher</v>
      </c>
    </row>
    <row r="655">
      <c r="A655" s="88" t="s">
        <v>1518</v>
      </c>
      <c r="B655" s="91" t="s">
        <v>1519</v>
      </c>
      <c r="C655" s="64" t="str">
        <f>IFERROR(__xludf.DUMMYFUNCTION("GOOGLETRANSLATE(B655,""en"",""hi"")"),"कोई परिणाम नहीं मिला. मानचित्र से चुनें")</f>
        <v>कोई परिणाम नहीं मिला. मानचित्र से चुनें</v>
      </c>
      <c r="D655" s="65" t="str">
        <f>IFERROR(__xludf.DUMMYFUNCTION("GOOGLETRANSLATE(B655,""en"",""ar"")"),"لم يتم العثور على نتائج. حاول الاختيار من الخريطة.")</f>
        <v>لم يتم العثور على نتائج. حاول الاختيار من الخريطة.</v>
      </c>
      <c r="E655" s="65" t="str">
        <f>IFERROR(__xludf.DUMMYFUNCTION("GOOGLETRANSLATE(B655,""en"",""fr"")"),"Aucun résultat trouvé. Essayez de sélectionner sur la carte.")</f>
        <v>Aucun résultat trouvé. Essayez de sélectionner sur la carte.</v>
      </c>
      <c r="F655" s="65" t="str">
        <f>IFERROR(__xludf.DUMMYFUNCTION("GOOGLETRANSLATE(B655,""en"",""tr"")"),"Sonuç bulunamadı. Haritadan seçmeyi deneyin")</f>
        <v>Sonuç bulunamadı. Haritadan seçmeyi deneyin</v>
      </c>
      <c r="G655" s="65" t="str">
        <f>IFERROR(__xludf.DUMMYFUNCTION("GOOGLETRANSLATE(B655,""en"",""ru"")"),"Результаты не найдены. Попробуйте выбрать на карте.")</f>
        <v>Результаты не найдены. Попробуйте выбрать на карте.</v>
      </c>
      <c r="H655" s="65" t="str">
        <f>IFERROR(__xludf.DUMMYFUNCTION("GOOGLETRANSLATE(B655,""en"",""it"")"),"Nessun risultato trovato. Prova a selezionare dalla mappa")</f>
        <v>Nessun risultato trovato. Prova a selezionare dalla mappa</v>
      </c>
      <c r="I655" s="65" t="str">
        <f>IFERROR(__xludf.DUMMYFUNCTION("GOOGLETRANSLATE(B655,""en"",""de"")"),"Keine Ergebnisse gefunden. Versuchen Sie, von der Karte auszuwählen")</f>
        <v>Keine Ergebnisse gefunden. Versuchen Sie, von der Karte auszuwählen</v>
      </c>
      <c r="J655" s="65" t="str">
        <f>IFERROR(__xludf.DUMMYFUNCTION("GOOGLETRANSLATE(B655,""en"",""ko"")"),"검색 결과가 없습니다. 지도에서 선택해 보세요.")</f>
        <v>검색 결과가 없습니다. 지도에서 선택해 보세요.</v>
      </c>
      <c r="K655" s="65" t="str">
        <f>IFERROR(__xludf.DUMMYFUNCTION("GOOGLETRANSLATE(B655,""en"",""zh"")"),"未找到结果。请尝试从地图中选择")</f>
        <v>未找到结果。请尝试从地图中选择</v>
      </c>
      <c r="L655" s="65" t="str">
        <f>IFERROR(__xludf.DUMMYFUNCTION("GOOGLETRANSLATE(B655,""en"",""es"")"),"No se encontraron resultados. Intente seleccionar del mapa.")</f>
        <v>No se encontraron resultados. Intente seleccionar del mapa.</v>
      </c>
      <c r="M655" s="64" t="str">
        <f>IFERROR(__xludf.DUMMYFUNCTION("GOOGLETRANSLATE(B655,""en"",""iw"")"),"לא נמצאו תוצאות. נסה לבחור מהמפה")</f>
        <v>לא נמצאו תוצאות. נסה לבחור מהמפה</v>
      </c>
      <c r="N655" s="65" t="str">
        <f>IFERROR(__xludf.DUMMYFUNCTION("GOOGLETRANSLATE(B655,""en"",""bn"")"),"কোন ফলাফল পাওয়া যায়নি. মানচিত্র থেকে নির্বাচন করার চেষ্টা করুন")</f>
        <v>কোন ফলাফল পাওয়া যায়নি. মানচিত্র থেকে নির্বাচন করার চেষ্টা করুন</v>
      </c>
      <c r="O655" s="4" t="str">
        <f>IFERROR(__xludf.DUMMYFUNCTION("GOOGLETRANSLATE(B655,""en"",""pt"")"),"Nenhum resultado encontrado. Tente selecionar no mapa.")</f>
        <v>Nenhum resultado encontrado. Tente selecionar no mapa.</v>
      </c>
    </row>
    <row r="656">
      <c r="A656" s="88" t="s">
        <v>1520</v>
      </c>
      <c r="B656" s="91" t="s">
        <v>1521</v>
      </c>
      <c r="C656" s="64" t="str">
        <f>IFERROR(__xludf.DUMMYFUNCTION("GOOGLETRANSLATE(B656,""en"",""hi"")"),"खोज रहा हूँ...")</f>
        <v>खोज रहा हूँ...</v>
      </c>
      <c r="D656" s="65" t="str">
        <f>IFERROR(__xludf.DUMMYFUNCTION("GOOGLETRANSLATE(B656,""en"",""ar"")"),"جاري البحث...")</f>
        <v>جاري البحث...</v>
      </c>
      <c r="E656" s="65" t="str">
        <f>IFERROR(__xludf.DUMMYFUNCTION("GOOGLETRANSLATE(B656,""en"",""fr"")"),"Recherche...")</f>
        <v>Recherche...</v>
      </c>
      <c r="F656" s="65" t="str">
        <f>IFERROR(__xludf.DUMMYFUNCTION("GOOGLETRANSLATE(B656,""en"",""tr"")"),"Arama...")</f>
        <v>Arama...</v>
      </c>
      <c r="G656" s="65" t="str">
        <f>IFERROR(__xludf.DUMMYFUNCTION("GOOGLETRANSLATE(B656,""en"",""ru"")"),"Идет поиск...")</f>
        <v>Идет поиск...</v>
      </c>
      <c r="H656" s="65" t="str">
        <f>IFERROR(__xludf.DUMMYFUNCTION("GOOGLETRANSLATE(B656,""en"",""it"")"),"Ricerca in corso...")</f>
        <v>Ricerca in corso...</v>
      </c>
      <c r="I656" s="65" t="str">
        <f>IFERROR(__xludf.DUMMYFUNCTION("GOOGLETRANSLATE(B656,""en"",""de"")"),"Suche läuft...")</f>
        <v>Suche läuft...</v>
      </c>
      <c r="J656" s="65" t="str">
        <f>IFERROR(__xludf.DUMMYFUNCTION("GOOGLETRANSLATE(B656,""en"",""ko"")"),"수색...")</f>
        <v>수색...</v>
      </c>
      <c r="K656" s="65" t="str">
        <f>IFERROR(__xludf.DUMMYFUNCTION("GOOGLETRANSLATE(B656,""en"",""zh"")"),"正在搜索...")</f>
        <v>正在搜索...</v>
      </c>
      <c r="L656" s="65" t="str">
        <f>IFERROR(__xludf.DUMMYFUNCTION("GOOGLETRANSLATE(B656,""en"",""es"")"),"Búsqueda...")</f>
        <v>Búsqueda...</v>
      </c>
      <c r="M656" s="64" t="str">
        <f>IFERROR(__xludf.DUMMYFUNCTION("GOOGLETRANSLATE(B656,""en"",""iw"")"),"מחפש...")</f>
        <v>מחפש...</v>
      </c>
      <c r="N656" s="65" t="str">
        <f>IFERROR(__xludf.DUMMYFUNCTION("GOOGLETRANSLATE(B656,""en"",""bn"")"),"অনুসন্ধান করা হচ্ছে...")</f>
        <v>অনুসন্ধান করা হচ্ছে...</v>
      </c>
      <c r="O656" s="4" t="str">
        <f>IFERROR(__xludf.DUMMYFUNCTION("GOOGLETRANSLATE(B656,""en"",""pt"")"),"Procurando...")</f>
        <v>Procurando...</v>
      </c>
    </row>
    <row r="657">
      <c r="A657" s="88" t="s">
        <v>1522</v>
      </c>
      <c r="B657" s="91" t="s">
        <v>1523</v>
      </c>
      <c r="C657" s="64" t="str">
        <f>IFERROR(__xludf.DUMMYFUNCTION("GOOGLETRANSLATE(B657,""en"",""hi"")"),"खोज के परिणाम")</f>
        <v>खोज के परिणाम</v>
      </c>
      <c r="D657" s="65" t="str">
        <f>IFERROR(__xludf.DUMMYFUNCTION("GOOGLETRANSLATE(B657,""en"",""ar"")"),"نتائج البحث")</f>
        <v>نتائج البحث</v>
      </c>
      <c r="E657" s="65" t="str">
        <f>IFERROR(__xludf.DUMMYFUNCTION("GOOGLETRANSLATE(B657,""en"",""fr"")"),"Résultats de la recherche")</f>
        <v>Résultats de la recherche</v>
      </c>
      <c r="F657" s="65" t="str">
        <f>IFERROR(__xludf.DUMMYFUNCTION("GOOGLETRANSLATE(B657,""en"",""tr"")"),"Arama Sonuçları")</f>
        <v>Arama Sonuçları</v>
      </c>
      <c r="G657" s="65" t="str">
        <f>IFERROR(__xludf.DUMMYFUNCTION("GOOGLETRANSLATE(B657,""en"",""ru"")"),"Результаты поиска")</f>
        <v>Результаты поиска</v>
      </c>
      <c r="H657" s="65" t="str">
        <f>IFERROR(__xludf.DUMMYFUNCTION("GOOGLETRANSLATE(B657,""en"",""it"")"),"Risultati della ricerca")</f>
        <v>Risultati della ricerca</v>
      </c>
      <c r="I657" s="65" t="str">
        <f>IFERROR(__xludf.DUMMYFUNCTION("GOOGLETRANSLATE(B657,""en"",""de"")"),"Suchergebnisse")</f>
        <v>Suchergebnisse</v>
      </c>
      <c r="J657" s="65" t="str">
        <f>IFERROR(__xludf.DUMMYFUNCTION("GOOGLETRANSLATE(B657,""en"",""ko"")"),"검색 결과")</f>
        <v>검색 결과</v>
      </c>
      <c r="K657" s="65" t="str">
        <f>IFERROR(__xludf.DUMMYFUNCTION("GOOGLETRANSLATE(B657,""en"",""zh"")"),"搜索结果")</f>
        <v>搜索结果</v>
      </c>
      <c r="L657" s="65" t="str">
        <f>IFERROR(__xludf.DUMMYFUNCTION("GOOGLETRANSLATE(B657,""en"",""es"")"),"Resultados de la búsqueda")</f>
        <v>Resultados de la búsqueda</v>
      </c>
      <c r="M657" s="64" t="str">
        <f>IFERROR(__xludf.DUMMYFUNCTION("GOOGLETRANSLATE(B657,""en"",""iw"")"),"תוצאות חיפוש")</f>
        <v>תוצאות חיפוש</v>
      </c>
      <c r="N657" s="65" t="str">
        <f>IFERROR(__xludf.DUMMYFUNCTION("GOOGLETRANSLATE(B657,""en"",""bn"")"),"অনুসন্ধান ফলাফল")</f>
        <v>অনুসন্ধান ফলাফল</v>
      </c>
      <c r="O657" s="4" t="str">
        <f>IFERROR(__xludf.DUMMYFUNCTION("GOOGLETRANSLATE(B657,""en"",""pt"")"),"Resultados da pesquisa")</f>
        <v>Resultados da pesquisa</v>
      </c>
    </row>
    <row r="658">
      <c r="A658" s="88" t="s">
        <v>1524</v>
      </c>
      <c r="B658" s="91" t="s">
        <v>1525</v>
      </c>
      <c r="C658" s="64" t="str">
        <f>IFERROR(__xludf.DUMMYFUNCTION("GOOGLETRANSLATE(B658,""en"",""hi"")"),"कृपया खोजने के लिए कम से कम 4 अक्षर दर्ज करें")</f>
        <v>कृपया खोजने के लिए कम से कम 4 अक्षर दर्ज करें</v>
      </c>
      <c r="D658" s="65" t="str">
        <f>IFERROR(__xludf.DUMMYFUNCTION("GOOGLETRANSLATE(B658,""en"",""ar"")"),"الرجاء إدخال 4 أحرف على الأقل للبحث")</f>
        <v>الرجاء إدخال 4 أحرف على الأقل للبحث</v>
      </c>
      <c r="E658" s="65" t="str">
        <f>IFERROR(__xludf.DUMMYFUNCTION("GOOGLETRANSLATE(B658,""en"",""fr"")"),"Veuillez saisir au moins 4 lettres pour rechercher")</f>
        <v>Veuillez saisir au moins 4 lettres pour rechercher</v>
      </c>
      <c r="F658" s="65" t="str">
        <f>IFERROR(__xludf.DUMMYFUNCTION("GOOGLETRANSLATE(B658,""en"",""tr"")"),"Lütfen aramak için en az 4 harf girin")</f>
        <v>Lütfen aramak için en az 4 harf girin</v>
      </c>
      <c r="G658" s="65" t="str">
        <f>IFERROR(__xludf.DUMMYFUNCTION("GOOGLETRANSLATE(B658,""en"",""ru"")"),"Пожалуйста, введите не менее 4 букв для поиска.")</f>
        <v>Пожалуйста, введите не менее 4 букв для поиска.</v>
      </c>
      <c r="H658" s="65" t="str">
        <f>IFERROR(__xludf.DUMMYFUNCTION("GOOGLETRANSLATE(B658,""en"",""it"")"),"Inserisci almeno 4 lettere per effettuare la ricerca")</f>
        <v>Inserisci almeno 4 lettere per effettuare la ricerca</v>
      </c>
      <c r="I658" s="65" t="str">
        <f>IFERROR(__xludf.DUMMYFUNCTION("GOOGLETRANSLATE(B658,""en"",""de"")"),"Bitte geben Sie mindestens 4 Buchstaben für die Suche ein")</f>
        <v>Bitte geben Sie mindestens 4 Buchstaben für die Suche ein</v>
      </c>
      <c r="J658" s="65" t="str">
        <f>IFERROR(__xludf.DUMMYFUNCTION("GOOGLETRANSLATE(B658,""en"",""ko"")"),"검색하려면 최소 4글자를 입력하세요")</f>
        <v>검색하려면 최소 4글자를 입력하세요</v>
      </c>
      <c r="K658" s="65" t="str">
        <f>IFERROR(__xludf.DUMMYFUNCTION("GOOGLETRANSLATE(B658,""en"",""zh"")"),"请输入至少4个字母进行搜索")</f>
        <v>请输入至少4个字母进行搜索</v>
      </c>
      <c r="L658" s="65" t="str">
        <f>IFERROR(__xludf.DUMMYFUNCTION("GOOGLETRANSLATE(B658,""en"",""es"")"),"Por favor ingrese al menos 4 letras para buscar")</f>
        <v>Por favor ingrese al menos 4 letras para buscar</v>
      </c>
      <c r="M658" s="64" t="str">
        <f>IFERROR(__xludf.DUMMYFUNCTION("GOOGLETRANSLATE(B658,""en"",""iw"")"),"אנא הזן לפחות 4 אותיות לחיפוש")</f>
        <v>אנא הזן לפחות 4 אותיות לחיפוש</v>
      </c>
      <c r="N658" s="65" t="str">
        <f>IFERROR(__xludf.DUMMYFUNCTION("GOOGLETRANSLATE(B658,""en"",""bn"")"),"অনুসন্ধান করতে অনুগ্রহ করে কমপক্ষে 4টি অক্ষর লিখুন")</f>
        <v>অনুসন্ধান করতে অনুগ্রহ করে কমপক্ষে 4টি অক্ষর লিখুন</v>
      </c>
      <c r="O658" s="4" t="str">
        <f>IFERROR(__xludf.DUMMYFUNCTION("GOOGLETRANSLATE(B658,""en"",""pt"")"),"Por favor, insira pelo menos 4 letras para pesquisar")</f>
        <v>Por favor, insira pelo menos 4 letras para pesquisar</v>
      </c>
    </row>
    <row r="659">
      <c r="A659" s="88" t="s">
        <v>1526</v>
      </c>
      <c r="B659" s="91" t="s">
        <v>1527</v>
      </c>
      <c r="C659" s="64" t="str">
        <f>IFERROR(__xludf.DUMMYFUNCTION("GOOGLETRANSLATE(B659,""en"",""hi"")"),"उदाहरण:""दोस्त का घर""")</f>
        <v>उदाहरण:"दोस्त का घर"</v>
      </c>
      <c r="D659" s="65" t="str">
        <f>IFERROR(__xludf.DUMMYFUNCTION("GOOGLETRANSLATE(B659,""en"",""ar"")"),"مثال: ""بيت الصديق""")</f>
        <v>مثال: "بيت الصديق"</v>
      </c>
      <c r="E659" s="65" t="str">
        <f>IFERROR(__xludf.DUMMYFUNCTION("GOOGLETRANSLATE(B659,""en"",""fr"")"),"Exemple : « La maison d'un ami »")</f>
        <v>Exemple : « La maison d'un ami »</v>
      </c>
      <c r="F659" s="65" t="str">
        <f>IFERROR(__xludf.DUMMYFUNCTION("GOOGLETRANSLATE(B659,""en"",""tr"")"),"Örnek: ""Arkadaşın evi""")</f>
        <v>Örnek: "Arkadaşın evi"</v>
      </c>
      <c r="G659" s="65" t="str">
        <f>IFERROR(__xludf.DUMMYFUNCTION("GOOGLETRANSLATE(B659,""en"",""ru"")"),"Пример: «Дом друга»")</f>
        <v>Пример: «Дом друга»</v>
      </c>
      <c r="H659" s="65" t="str">
        <f>IFERROR(__xludf.DUMMYFUNCTION("GOOGLETRANSLATE(B659,""en"",""it"")"),"Esempio: ""Casa di un amico""")</f>
        <v>Esempio: "Casa di un amico"</v>
      </c>
      <c r="I659" s="65" t="str">
        <f>IFERROR(__xludf.DUMMYFUNCTION("GOOGLETRANSLATE(B659,""en"",""de"")"),"Beispiel: „Haus eines Freundes“")</f>
        <v>Beispiel: „Haus eines Freundes“</v>
      </c>
      <c r="J659" s="65" t="str">
        <f>IFERROR(__xludf.DUMMYFUNCTION("GOOGLETRANSLATE(B659,""en"",""ko"")"),"예: ""친구 집""")</f>
        <v>예: "친구 집"</v>
      </c>
      <c r="K659" s="65" t="str">
        <f>IFERROR(__xludf.DUMMYFUNCTION("GOOGLETRANSLATE(B659,""en"",""zh"")"),"例如：“朋友家”")</f>
        <v>例如：“朋友家”</v>
      </c>
      <c r="L659" s="65" t="str">
        <f>IFERROR(__xludf.DUMMYFUNCTION("GOOGLETRANSLATE(B659,""en"",""es"")"),"Ejemplo: ""Casa de un amigo""")</f>
        <v>Ejemplo: "Casa de un amigo"</v>
      </c>
      <c r="M659" s="64" t="str">
        <f>IFERROR(__xludf.DUMMYFUNCTION("GOOGLETRANSLATE(B659,""en"",""iw"")"),"דוגמה: ""בית חבר""")</f>
        <v>דוגמה: "בית חבר"</v>
      </c>
      <c r="N659" s="65" t="str">
        <f>IFERROR(__xludf.DUMMYFUNCTION("GOOGLETRANSLATE(B659,""en"",""bn"")"),"উদাহরণ: ""বন্ধুর বাড়ি""")</f>
        <v>উদাহরণ: "বন্ধুর বাড়ি"</v>
      </c>
      <c r="O659" s="4" t="str">
        <f>IFERROR(__xludf.DUMMYFUNCTION("GOOGLETRANSLATE(B659,""en"",""pt"")"),"Exemplo: ""Casa de um amigo""")</f>
        <v>Exemplo: "Casa de um amigo"</v>
      </c>
    </row>
    <row r="660">
      <c r="A660" s="88" t="s">
        <v>1528</v>
      </c>
      <c r="B660" s="91" t="s">
        <v>1529</v>
      </c>
      <c r="C660" s="64" t="str">
        <f>IFERROR(__xludf.DUMMYFUNCTION("GOOGLETRANSLATE(B660,""en"",""hi"")"),"पता जोड़ने के लिए टैप करें")</f>
        <v>पता जोड़ने के लिए टैप करें</v>
      </c>
      <c r="D660" s="65" t="str">
        <f>IFERROR(__xludf.DUMMYFUNCTION("GOOGLETRANSLATE(B660,""en"",""ar"")"),"انقر لإضافة عنوان")</f>
        <v>انقر لإضافة عنوان</v>
      </c>
      <c r="E660" s="65" t="str">
        <f>IFERROR(__xludf.DUMMYFUNCTION("GOOGLETRANSLATE(B660,""en"",""fr"")"),"Appuyez pour ajouter une adresse")</f>
        <v>Appuyez pour ajouter une adresse</v>
      </c>
      <c r="F660" s="65" t="str">
        <f>IFERROR(__xludf.DUMMYFUNCTION("GOOGLETRANSLATE(B660,""en"",""tr"")"),"Adres eklemek için dokunun")</f>
        <v>Adres eklemek için dokunun</v>
      </c>
      <c r="G660" s="65" t="str">
        <f>IFERROR(__xludf.DUMMYFUNCTION("GOOGLETRANSLATE(B660,""en"",""ru"")"),"Нажмите, чтобы добавить адрес")</f>
        <v>Нажмите, чтобы добавить адрес</v>
      </c>
      <c r="H660" s="65" t="str">
        <f>IFERROR(__xludf.DUMMYFUNCTION("GOOGLETRANSLATE(B660,""en"",""it"")"),"Tocca per aggiungere l'indirizzo")</f>
        <v>Tocca per aggiungere l'indirizzo</v>
      </c>
      <c r="I660" s="65" t="str">
        <f>IFERROR(__xludf.DUMMYFUNCTION("GOOGLETRANSLATE(B660,""en"",""de"")"),"Tippen, um Adresse hinzuzufügen")</f>
        <v>Tippen, um Adresse hinzuzufügen</v>
      </c>
      <c r="J660" s="65" t="str">
        <f>IFERROR(__xludf.DUMMYFUNCTION("GOOGLETRANSLATE(B660,""en"",""ko"")"),"주소를 추가하려면 탭하세요")</f>
        <v>주소를 추가하려면 탭하세요</v>
      </c>
      <c r="K660" s="65" t="str">
        <f>IFERROR(__xludf.DUMMYFUNCTION("GOOGLETRANSLATE(B660,""en"",""zh"")"),"点击添加地址")</f>
        <v>点击添加地址</v>
      </c>
      <c r="L660" s="65" t="str">
        <f>IFERROR(__xludf.DUMMYFUNCTION("GOOGLETRANSLATE(B660,""en"",""es"")"),"Toque para agregar dirección")</f>
        <v>Toque para agregar dirección</v>
      </c>
      <c r="M660" s="64" t="str">
        <f>IFERROR(__xludf.DUMMYFUNCTION("GOOGLETRANSLATE(B660,""en"",""iw"")"),"הקש כדי להוסיף כתובת")</f>
        <v>הקש כדי להוסיף כתובת</v>
      </c>
      <c r="N660" s="65" t="str">
        <f>IFERROR(__xludf.DUMMYFUNCTION("GOOGLETRANSLATE(B660,""en"",""bn"")"),"ঠিকানা যোগ করতে আলতো চাপুন")</f>
        <v>ঠিকানা যোগ করতে আলতো চাপুন</v>
      </c>
      <c r="O660" s="4" t="str">
        <f>IFERROR(__xludf.DUMMYFUNCTION("GOOGLETRANSLATE(B660,""en"",""pt"")"),"Toque para adicionar endereço")</f>
        <v>Toque para adicionar endereço</v>
      </c>
    </row>
    <row r="661">
      <c r="A661" s="88" t="s">
        <v>1530</v>
      </c>
      <c r="B661" s="91" t="s">
        <v>1531</v>
      </c>
      <c r="C661" s="64" t="str">
        <f>IFERROR(__xludf.DUMMYFUNCTION("GOOGLETRANSLATE(B661,""en"",""hi"")"),"नया जोड़ो")</f>
        <v>नया जोड़ो</v>
      </c>
      <c r="D661" s="65" t="str">
        <f>IFERROR(__xludf.DUMMYFUNCTION("GOOGLETRANSLATE(B661,""en"",""ar"")"),"إضافة جديد")</f>
        <v>إضافة جديد</v>
      </c>
      <c r="E661" s="65" t="str">
        <f>IFERROR(__xludf.DUMMYFUNCTION("GOOGLETRANSLATE(B661,""en"",""fr"")"),"Ajouter un nouveau")</f>
        <v>Ajouter un nouveau</v>
      </c>
      <c r="F661" s="65" t="str">
        <f>IFERROR(__xludf.DUMMYFUNCTION("GOOGLETRANSLATE(B661,""en"",""tr"")"),"Yeni Ekle")</f>
        <v>Yeni Ekle</v>
      </c>
      <c r="G661" s="65" t="str">
        <f>IFERROR(__xludf.DUMMYFUNCTION("GOOGLETRANSLATE(B661,""en"",""ru"")"),"Добавить новый")</f>
        <v>Добавить новый</v>
      </c>
      <c r="H661" s="65" t="str">
        <f>IFERROR(__xludf.DUMMYFUNCTION("GOOGLETRANSLATE(B661,""en"",""it"")"),"Aggiungi nuovo")</f>
        <v>Aggiungi nuovo</v>
      </c>
      <c r="I661" s="65" t="str">
        <f>IFERROR(__xludf.DUMMYFUNCTION("GOOGLETRANSLATE(B661,""en"",""de"")"),"Neu hinzufügen")</f>
        <v>Neu hinzufügen</v>
      </c>
      <c r="J661" s="65" t="str">
        <f>IFERROR(__xludf.DUMMYFUNCTION("GOOGLETRANSLATE(B661,""en"",""ko"")"),"새로 추가")</f>
        <v>새로 추가</v>
      </c>
      <c r="K661" s="65" t="str">
        <f>IFERROR(__xludf.DUMMYFUNCTION("GOOGLETRANSLATE(B661,""en"",""zh"")"),"添加新")</f>
        <v>添加新</v>
      </c>
      <c r="L661" s="65" t="str">
        <f>IFERROR(__xludf.DUMMYFUNCTION("GOOGLETRANSLATE(B661,""en"",""es"")"),"Agregar nuevo")</f>
        <v>Agregar nuevo</v>
      </c>
      <c r="M661" s="64" t="str">
        <f>IFERROR(__xludf.DUMMYFUNCTION("GOOGLETRANSLATE(B661,""en"",""iw"")"),"הוסף חדש")</f>
        <v>הוסף חדש</v>
      </c>
      <c r="N661" s="65" t="str">
        <f>IFERROR(__xludf.DUMMYFUNCTION("GOOGLETRANSLATE(B661,""en"",""bn"")"),"নতুন যোগ করুন")</f>
        <v>নতুন যোগ করুন</v>
      </c>
      <c r="O661" s="4" t="str">
        <f>IFERROR(__xludf.DUMMYFUNCTION("GOOGLETRANSLATE(B661,""en"",""pt"")"),"Adicionar novo")</f>
        <v>Adicionar novo</v>
      </c>
    </row>
    <row r="662">
      <c r="A662" s="88" t="s">
        <v>1532</v>
      </c>
      <c r="B662" s="91" t="s">
        <v>1533</v>
      </c>
      <c r="C662" s="64" t="str">
        <f>IFERROR(__xludf.DUMMYFUNCTION("GOOGLETRANSLATE(B662,""en"",""hi"")"),"क्या आप वाकई इस मालिक को हटाना चाहते हैं?")</f>
        <v>क्या आप वाकई इस मालिक को हटाना चाहते हैं?</v>
      </c>
      <c r="D662" s="65" t="str">
        <f>IFERROR(__xludf.DUMMYFUNCTION("GOOGLETRANSLATE(B662,""en"",""ar"")"),"هل أنت متأكد من أنك تريد حذف هذا المالك؟")</f>
        <v>هل أنت متأكد من أنك تريد حذف هذا المالك؟</v>
      </c>
      <c r="E662" s="65" t="str">
        <f>IFERROR(__xludf.DUMMYFUNCTION("GOOGLETRANSLATE(B662,""en"",""fr"")"),"Êtes-vous sûr de vouloir supprimer ce propriétaire ?")</f>
        <v>Êtes-vous sûr de vouloir supprimer ce propriétaire ?</v>
      </c>
      <c r="F662" s="65" t="str">
        <f>IFERROR(__xludf.DUMMYFUNCTION("GOOGLETRANSLATE(B662,""en"",""tr"")"),"Bu sahibi silmek istediğinizden emin misiniz?")</f>
        <v>Bu sahibi silmek istediğinizden emin misiniz?</v>
      </c>
      <c r="G662" s="65" t="str">
        <f>IFERROR(__xludf.DUMMYFUNCTION("GOOGLETRANSLATE(B662,""en"",""ru"")"),"Вы уверены, что хотите удалить этого владельца?")</f>
        <v>Вы уверены, что хотите удалить этого владельца?</v>
      </c>
      <c r="H662" s="65" t="str">
        <f>IFERROR(__xludf.DUMMYFUNCTION("GOOGLETRANSLATE(B662,""en"",""it"")"),"Vuoi davvero eliminare questo proprietario?")</f>
        <v>Vuoi davvero eliminare questo proprietario?</v>
      </c>
      <c r="I662" s="65" t="str">
        <f>IFERROR(__xludf.DUMMYFUNCTION("GOOGLETRANSLATE(B662,""en"",""de"")"),"Möchten Sie diesen Besitzer wirklich löschen?")</f>
        <v>Möchten Sie diesen Besitzer wirklich löschen?</v>
      </c>
      <c r="J662" s="65" t="str">
        <f>IFERROR(__xludf.DUMMYFUNCTION("GOOGLETRANSLATE(B662,""en"",""ko"")"),"이 소유자를 삭제하시겠습니까?")</f>
        <v>이 소유자를 삭제하시겠습니까?</v>
      </c>
      <c r="K662" s="65" t="str">
        <f>IFERROR(__xludf.DUMMYFUNCTION("GOOGLETRANSLATE(B662,""en"",""zh"")"),"您确定要删除该所有者吗？")</f>
        <v>您确定要删除该所有者吗？</v>
      </c>
      <c r="L662" s="65" t="str">
        <f>IFERROR(__xludf.DUMMYFUNCTION("GOOGLETRANSLATE(B662,""en"",""es"")"),"¿Estás seguro de que deseas eliminar este propietario?")</f>
        <v>¿Estás seguro de que deseas eliminar este propietario?</v>
      </c>
      <c r="M662" s="64" t="str">
        <f>IFERROR(__xludf.DUMMYFUNCTION("GOOGLETRANSLATE(B662,""en"",""iw"")"),"האם אתה בטוח שברצונך למחוק את הבעלים הזה?")</f>
        <v>האם אתה בטוח שברצונך למחוק את הבעלים הזה?</v>
      </c>
      <c r="N662" s="65" t="str">
        <f>IFERROR(__xludf.DUMMYFUNCTION("GOOGLETRANSLATE(B662,""en"",""bn"")"),"আপনি কি এই মালিককে মুছতে চান?")</f>
        <v>আপনি কি এই মালিককে মুছতে চান?</v>
      </c>
      <c r="O662" s="4" t="str">
        <f>IFERROR(__xludf.DUMMYFUNCTION("GOOGLETRANSLATE(B662,""en"",""pt"")"),"Tem certeza de que deseja excluir este proprietário?")</f>
        <v>Tem certeza de que deseja excluir este proprietário?</v>
      </c>
    </row>
    <row r="663">
      <c r="A663" s="88" t="s">
        <v>1534</v>
      </c>
      <c r="B663" s="91" t="s">
        <v>1535</v>
      </c>
      <c r="C663" s="64" t="str">
        <f>IFERROR(__xludf.DUMMYFUNCTION("GOOGLETRANSLATE(B663,""en"",""hi"")"),"पूरा")</f>
        <v>पूरा</v>
      </c>
      <c r="D663" s="65" t="str">
        <f>IFERROR(__xludf.DUMMYFUNCTION("GOOGLETRANSLATE(B663,""en"",""ar"")"),"مكتمل")</f>
        <v>مكتمل</v>
      </c>
      <c r="E663" s="65" t="str">
        <f>IFERROR(__xludf.DUMMYFUNCTION("GOOGLETRANSLATE(B663,""en"",""fr"")"),"Complet")</f>
        <v>Complet</v>
      </c>
      <c r="F663" s="65" t="str">
        <f>IFERROR(__xludf.DUMMYFUNCTION("GOOGLETRANSLATE(B663,""en"",""tr"")"),"Tamamlamak")</f>
        <v>Tamamlamak</v>
      </c>
      <c r="G663" s="65" t="str">
        <f>IFERROR(__xludf.DUMMYFUNCTION("GOOGLETRANSLATE(B663,""en"",""ru"")"),"Полный")</f>
        <v>Полный</v>
      </c>
      <c r="H663" s="65" t="str">
        <f>IFERROR(__xludf.DUMMYFUNCTION("GOOGLETRANSLATE(B663,""en"",""it"")"),"Completare")</f>
        <v>Completare</v>
      </c>
      <c r="I663" s="65" t="str">
        <f>IFERROR(__xludf.DUMMYFUNCTION("GOOGLETRANSLATE(B663,""en"",""de"")"),"Vollständig")</f>
        <v>Vollständig</v>
      </c>
      <c r="J663" s="65" t="str">
        <f>IFERROR(__xludf.DUMMYFUNCTION("GOOGLETRANSLATE(B663,""en"",""ko"")"),"완벽한")</f>
        <v>완벽한</v>
      </c>
      <c r="K663" s="65" t="str">
        <f>IFERROR(__xludf.DUMMYFUNCTION("GOOGLETRANSLATE(B663,""en"",""zh"")"),"完全的")</f>
        <v>完全的</v>
      </c>
      <c r="L663" s="65" t="str">
        <f>IFERROR(__xludf.DUMMYFUNCTION("GOOGLETRANSLATE(B663,""en"",""es"")"),"Completo")</f>
        <v>Completo</v>
      </c>
      <c r="M663" s="64" t="str">
        <f>IFERROR(__xludf.DUMMYFUNCTION("GOOGLETRANSLATE(B663,""en"",""iw"")"),"לְהַשְׁלִים")</f>
        <v>לְהַשְׁלִים</v>
      </c>
      <c r="N663" s="65" t="str">
        <f>IFERROR(__xludf.DUMMYFUNCTION("GOOGLETRANSLATE(B663,""en"",""bn"")"),"সম্পূর্ণ")</f>
        <v>সম্পূর্ণ</v>
      </c>
      <c r="O663" s="4" t="str">
        <f>IFERROR(__xludf.DUMMYFUNCTION("GOOGLETRANSLATE(B663,""en"",""pt"")"),"Completo")</f>
        <v>Completo</v>
      </c>
    </row>
    <row r="664">
      <c r="A664" s="88" t="s">
        <v>1536</v>
      </c>
      <c r="B664" s="91" t="s">
        <v>1537</v>
      </c>
      <c r="C664" s="64" t="str">
        <f>IFERROR(__xludf.DUMMYFUNCTION("GOOGLETRANSLATE(B664,""en"",""hi"")"),"डेमो में रूट पॉलीलाइन उपलब्ध नहीं है")</f>
        <v>डेमो में रूट पॉलीलाइन उपलब्ध नहीं है</v>
      </c>
      <c r="D664" s="65" t="str">
        <f>IFERROR(__xludf.DUMMYFUNCTION("GOOGLETRANSLATE(B664,""en"",""ar"")"),"مسار الخط المتعدد غير متوفر في النسخة التجريبية")</f>
        <v>مسار الخط المتعدد غير متوفر في النسخة التجريبية</v>
      </c>
      <c r="E664" s="65" t="str">
        <f>IFERROR(__xludf.DUMMYFUNCTION("GOOGLETRANSLATE(B664,""en"",""fr"")"),"La polyligne d'itinéraire n'est pas disponible dans la démo")</f>
        <v>La polyligne d'itinéraire n'est pas disponible dans la démo</v>
      </c>
      <c r="F664" s="65" t="str">
        <f>IFERROR(__xludf.DUMMYFUNCTION("GOOGLETRANSLATE(B664,""en"",""tr"")"),"Rota Çoklu Çizgisi Demo'da Mevcut Değil")</f>
        <v>Rota Çoklu Çizgisi Demo'da Mevcut Değil</v>
      </c>
      <c r="G664" s="65" t="str">
        <f>IFERROR(__xludf.DUMMYFUNCTION("GOOGLETRANSLATE(B664,""en"",""ru"")"),"Полилиния маршрута недоступна в демоверсии")</f>
        <v>Полилиния маршрута недоступна в демоверсии</v>
      </c>
      <c r="H664" s="65" t="str">
        <f>IFERROR(__xludf.DUMMYFUNCTION("GOOGLETRANSLATE(B664,""en"",""it"")"),"Polilinea del percorso non disponibile nella demo")</f>
        <v>Polilinea del percorso non disponibile nella demo</v>
      </c>
      <c r="I664" s="65" t="str">
        <f>IFERROR(__xludf.DUMMYFUNCTION("GOOGLETRANSLATE(B664,""en"",""de"")"),"Routenpolylinie in der Demo nicht verfügbar")</f>
        <v>Routenpolylinie in der Demo nicht verfügbar</v>
      </c>
      <c r="J664" s="65" t="str">
        <f>IFERROR(__xludf.DUMMYFUNCTION("GOOGLETRANSLATE(B664,""en"",""ko"")"),"데모에서는 경로 폴리라인을 사용할 수 없습니다.")</f>
        <v>데모에서는 경로 폴리라인을 사용할 수 없습니다.</v>
      </c>
      <c r="K664" s="65" t="str">
        <f>IFERROR(__xludf.DUMMYFUNCTION("GOOGLETRANSLATE(B664,""en"",""zh"")"),"路线折线在演示中不可用")</f>
        <v>路线折线在演示中不可用</v>
      </c>
      <c r="L664" s="65" t="str">
        <f>IFERROR(__xludf.DUMMYFUNCTION("GOOGLETRANSLATE(B664,""en"",""es"")"),"La polilínea de ruta no está disponible en la demostración")</f>
        <v>La polilínea de ruta no está disponible en la demostración</v>
      </c>
      <c r="M664" s="64" t="str">
        <f>IFERROR(__xludf.DUMMYFUNCTION("GOOGLETRANSLATE(B664,""en"",""iw"")"),"מסלול Polyline לא זמין בהדגמה")</f>
        <v>מסלול Polyline לא זמין בהדגמה</v>
      </c>
      <c r="N664" s="65" t="str">
        <f>IFERROR(__xludf.DUMMYFUNCTION("GOOGLETRANSLATE(B664,""en"",""bn"")"),"ডেমোতে রুট পলিলাইন উপলব্ধ নয়")</f>
        <v>ডেমোতে রুট পলিলাইন উপলব্ধ নয়</v>
      </c>
      <c r="O664" s="4" t="str">
        <f>IFERROR(__xludf.DUMMYFUNCTION("GOOGLETRANSLATE(B664,""en"",""pt"")"),"Polilinha de rota não disponível na demonstração")</f>
        <v>Polilinha de rota não disponível na demonstração</v>
      </c>
    </row>
    <row r="665">
      <c r="A665" s="88" t="s">
        <v>1538</v>
      </c>
      <c r="B665" s="91" t="s">
        <v>1539</v>
      </c>
      <c r="C665" s="64" t="str">
        <f>IFERROR(__xludf.DUMMYFUNCTION("GOOGLETRANSLATE(B665,""en"",""hi"")"),"पता पाने के लिए खींचें सुविधा डेमो में उपलब्ध नहीं है")</f>
        <v>पता पाने के लिए खींचें सुविधा डेमो में उपलब्ध नहीं है</v>
      </c>
      <c r="D665" s="65" t="str">
        <f>IFERROR(__xludf.DUMMYFUNCTION("GOOGLETRANSLATE(B665,""en"",""ar"")"),"ميزة السحب للحصول على العنوان غير متوفرة في النسخة التجريبية")</f>
        <v>ميزة السحب للحصول على العنوان غير متوفرة في النسخة التجريبية</v>
      </c>
      <c r="E665" s="65" t="str">
        <f>IFERROR(__xludf.DUMMYFUNCTION("GOOGLETRANSLATE(B665,""en"",""fr"")"),"La fonctionnalité « glisser pour obtenir l'adresse » n'est pas disponible dans la démo")</f>
        <v>La fonctionnalité « glisser pour obtenir l'adresse » n'est pas disponible dans la démo</v>
      </c>
      <c r="F665" s="65" t="str">
        <f>IFERROR(__xludf.DUMMYFUNCTION("GOOGLETRANSLATE(B665,""en"",""tr"")"),"Adresi Almak İçin Sürükle Özelliği Demo Sürümünde Kullanılamıyor")</f>
        <v>Adresi Almak İçin Sürükle Özelliği Demo Sürümünde Kullanılamıyor</v>
      </c>
      <c r="G665" s="65" t="str">
        <f>IFERROR(__xludf.DUMMYFUNCTION("GOOGLETRANSLATE(B665,""en"",""ru"")"),"Функция «Перетащите, чтобы получить адрес» недоступна в демоверсии")</f>
        <v>Функция «Перетащите, чтобы получить адрес» недоступна в демоверсии</v>
      </c>
      <c r="H665" s="65" t="str">
        <f>IFERROR(__xludf.DUMMYFUNCTION("GOOGLETRANSLATE(B665,""en"",""it"")"),"La funzione Trascina per ottenere l'indirizzo non è disponibile nella demo")</f>
        <v>La funzione Trascina per ottenere l'indirizzo non è disponibile nella demo</v>
      </c>
      <c r="I665" s="65" t="str">
        <f>IFERROR(__xludf.DUMMYFUNCTION("GOOGLETRANSLATE(B665,""en"",""de"")"),"Funktion „Ziehen zum Abrufen der Adresse“ in der Demo nicht verfügbar")</f>
        <v>Funktion „Ziehen zum Abrufen der Adresse“ in der Demo nicht verfügbar</v>
      </c>
      <c r="J665" s="65" t="str">
        <f>IFERROR(__xludf.DUMMYFUNCTION("GOOGLETRANSLATE(B665,""en"",""ko"")"),"데모에서는 주소 가져오기 기능을 사용할 수 없습니다.")</f>
        <v>데모에서는 주소 가져오기 기능을 사용할 수 없습니다.</v>
      </c>
      <c r="K665" s="65" t="str">
        <f>IFERROR(__xludf.DUMMYFUNCTION("GOOGLETRANSLATE(B665,""en"",""zh"")"),"演示中无法使用“拖动获取地址”功能")</f>
        <v>演示中无法使用“拖动获取地址”功能</v>
      </c>
      <c r="L665" s="65" t="str">
        <f>IFERROR(__xludf.DUMMYFUNCTION("GOOGLETRANSLATE(B665,""en"",""es"")"),"La función ""Arrastrar para obtener la dirección"" no está disponible en la demostración")</f>
        <v>La función "Arrastrar para obtener la dirección" no está disponible en la demostración</v>
      </c>
      <c r="M665" s="64" t="str">
        <f>IFERROR(__xludf.DUMMYFUNCTION("GOOGLETRANSLATE(B665,""en"",""iw"")"),"גרור כדי לקבל תכונת כתובת לא זמינה בהדגמה")</f>
        <v>גרור כדי לקבל תכונת כתובת לא זמינה בהדגמה</v>
      </c>
      <c r="N665" s="65" t="str">
        <f>IFERROR(__xludf.DUMMYFUNCTION("GOOGLETRANSLATE(B665,""en"",""bn"")"),"ঠিকানার বৈশিষ্ট্য পেতে টেনে আনুন ডেমোতে উপলভ্য নয়")</f>
        <v>ঠিকানার বৈশিষ্ট্য পেতে টেনে আনুন ডেমোতে উপলভ্য নয়</v>
      </c>
      <c r="O665" s="4" t="str">
        <f>IFERROR(__xludf.DUMMYFUNCTION("GOOGLETRANSLATE(B665,""en"",""pt"")"),"Arraste para obter o recurso de endereço não disponível na demonstração")</f>
        <v>Arraste para obter o recurso de endereço não disponível na demonstração</v>
      </c>
    </row>
    <row r="666">
      <c r="A666" s="88" t="s">
        <v>1540</v>
      </c>
      <c r="B666" s="91" t="s">
        <v>1541</v>
      </c>
      <c r="C666" s="64" t="str">
        <f>IFERROR(__xludf.DUMMYFUNCTION("GOOGLETRANSLATE(B666,""en"",""hi"")"),"रास्ते के ठहराव")</f>
        <v>रास्ते के ठहराव</v>
      </c>
      <c r="D666" s="65" t="str">
        <f>IFERROR(__xludf.DUMMYFUNCTION("GOOGLETRANSLATE(B666,""en"",""ar"")"),"توقفات")</f>
        <v>توقفات</v>
      </c>
      <c r="E666" s="65" t="str">
        <f>IFERROR(__xludf.DUMMYFUNCTION("GOOGLETRANSLATE(B666,""en"",""fr"")"),"Escales")</f>
        <v>Escales</v>
      </c>
      <c r="F666" s="65" t="str">
        <f>IFERROR(__xludf.DUMMYFUNCTION("GOOGLETRANSLATE(B666,""en"",""tr"")"),"Duraklar")</f>
        <v>Duraklar</v>
      </c>
      <c r="G666" s="65" t="str">
        <f>IFERROR(__xludf.DUMMYFUNCTION("GOOGLETRANSLATE(B666,""en"",""ru"")"),"Остановки")</f>
        <v>Остановки</v>
      </c>
      <c r="H666" s="65" t="str">
        <f>IFERROR(__xludf.DUMMYFUNCTION("GOOGLETRANSLATE(B666,""en"",""it"")"),"Soste")</f>
        <v>Soste</v>
      </c>
      <c r="I666" s="65" t="str">
        <f>IFERROR(__xludf.DUMMYFUNCTION("GOOGLETRANSLATE(B666,""en"",""de"")"),"Zwischenstopps")</f>
        <v>Zwischenstopps</v>
      </c>
      <c r="J666" s="65" t="str">
        <f>IFERROR(__xludf.DUMMYFUNCTION("GOOGLETRANSLATE(B666,""en"",""ko"")"),"경유지")</f>
        <v>경유지</v>
      </c>
      <c r="K666" s="65" t="str">
        <f>IFERROR(__xludf.DUMMYFUNCTION("GOOGLETRANSLATE(B666,""en"",""zh"")"),"中途停留")</f>
        <v>中途停留</v>
      </c>
      <c r="L666" s="65" t="str">
        <f>IFERROR(__xludf.DUMMYFUNCTION("GOOGLETRANSLATE(B666,""en"",""es"")"),"Escalas")</f>
        <v>Escalas</v>
      </c>
      <c r="M666" s="64" t="str">
        <f>IFERROR(__xludf.DUMMYFUNCTION("GOOGLETRANSLATE(B666,""en"",""iw"")"),"עצירות ביניים")</f>
        <v>עצירות ביניים</v>
      </c>
      <c r="N666" s="65" t="str">
        <f>IFERROR(__xludf.DUMMYFUNCTION("GOOGLETRANSLATE(B666,""en"",""bn"")"),"স্টপওভার")</f>
        <v>স্টপওভার</v>
      </c>
      <c r="O666" s="4" t="str">
        <f>IFERROR(__xludf.DUMMYFUNCTION("GOOGLETRANSLATE(B666,""en"",""pt"")"),"Paradas")</f>
        <v>Paradas</v>
      </c>
    </row>
    <row r="667">
      <c r="A667" s="88" t="s">
        <v>1542</v>
      </c>
      <c r="B667" s="91" t="s">
        <v>1543</v>
      </c>
      <c r="C667" s="64" t="str">
        <f>IFERROR(__xludf.DUMMYFUNCTION("GOOGLETRANSLATE(B667,""en"",""hi"")"),"नया ड्राइवर मिला")</f>
        <v>नया ड्राइवर मिला</v>
      </c>
      <c r="D667" s="65" t="str">
        <f>IFERROR(__xludf.DUMMYFUNCTION("GOOGLETRANSLATE(B667,""en"",""ar"")"),"حصلت على سائق جديد")</f>
        <v>حصلت على سائق جديد</v>
      </c>
      <c r="E667" s="65" t="str">
        <f>IFERROR(__xludf.DUMMYFUNCTION("GOOGLETRANSLATE(B667,""en"",""fr"")"),"J'ai un nouveau pilote")</f>
        <v>J'ai un nouveau pilote</v>
      </c>
      <c r="F667" s="65" t="str">
        <f>IFERROR(__xludf.DUMMYFUNCTION("GOOGLETRANSLATE(B667,""en"",""tr"")"),"Yeni sürücüm var")</f>
        <v>Yeni sürücüm var</v>
      </c>
      <c r="G667" s="65" t="str">
        <f>IFERROR(__xludf.DUMMYFUNCTION("GOOGLETRANSLATE(B667,""en"",""ru"")"),"Получил нового водителя")</f>
        <v>Получил нового водителя</v>
      </c>
      <c r="H667" s="65" t="str">
        <f>IFERROR(__xludf.DUMMYFUNCTION("GOOGLETRANSLATE(B667,""en"",""it"")"),"Ho un nuovo driver")</f>
        <v>Ho un nuovo driver</v>
      </c>
      <c r="I667" s="65" t="str">
        <f>IFERROR(__xludf.DUMMYFUNCTION("GOOGLETRANSLATE(B667,""en"",""de"")"),"Habe einen neuen Fahrer")</f>
        <v>Habe einen neuen Fahrer</v>
      </c>
      <c r="J667" s="65" t="str">
        <f>IFERROR(__xludf.DUMMYFUNCTION("GOOGLETRANSLATE(B667,""en"",""ko"")"),"새로운 드라이버를 얻었습니다")</f>
        <v>새로운 드라이버를 얻었습니다</v>
      </c>
      <c r="K667" s="65" t="str">
        <f>IFERROR(__xludf.DUMMYFUNCTION("GOOGLETRANSLATE(B667,""en"",""zh"")"),"有了新司机")</f>
        <v>有了新司机</v>
      </c>
      <c r="L667" s="65" t="str">
        <f>IFERROR(__xludf.DUMMYFUNCTION("GOOGLETRANSLATE(B667,""en"",""es"")"),"Tengo un nuevo conductor")</f>
        <v>Tengo un nuevo conductor</v>
      </c>
      <c r="M667" s="64" t="str">
        <f>IFERROR(__xludf.DUMMYFUNCTION("GOOGLETRANSLATE(B667,""en"",""iw"")"),"יש לי דרייבר חדש")</f>
        <v>יש לי דרייבר חדש</v>
      </c>
      <c r="N667" s="65" t="str">
        <f>IFERROR(__xludf.DUMMYFUNCTION("GOOGLETRANSLATE(B667,""en"",""bn"")"),"নতুন ড্রাইভার পেলাম")</f>
        <v>নতুন ড্রাইভার পেলাম</v>
      </c>
      <c r="O667" s="4" t="str">
        <f>IFERROR(__xludf.DUMMYFUNCTION("GOOGLETRANSLATE(B667,""en"",""pt"")"),"Tenho um novo motorista")</f>
        <v>Tenho um novo motorista</v>
      </c>
    </row>
    <row r="668">
      <c r="A668" s="88" t="s">
        <v>1544</v>
      </c>
      <c r="B668" s="91" t="s">
        <v>1545</v>
      </c>
      <c r="C668" s="64" t="str">
        <f>IFERROR(__xludf.DUMMYFUNCTION("GOOGLETRANSLATE(B668,""en"",""hi"")"),"सवारी के लिए बोली राशि")</f>
        <v>सवारी के लिए बोली राशि</v>
      </c>
      <c r="D668" s="65" t="str">
        <f>IFERROR(__xludf.DUMMYFUNCTION("GOOGLETRANSLATE(B668,""en"",""ar"")"),"عرض للحصول على مبلغ الرحلة")</f>
        <v>عرض للحصول على مبلغ الرحلة</v>
      </c>
      <c r="E668" s="65" t="str">
        <f>IFERROR(__xludf.DUMMYFUNCTION("GOOGLETRANSLATE(B668,""en"",""fr"")"),"Montant de l'offre pour le trajet")</f>
        <v>Montant de l'offre pour le trajet</v>
      </c>
      <c r="F668" s="65" t="str">
        <f>IFERROR(__xludf.DUMMYFUNCTION("GOOGLETRANSLATE(B668,""en"",""tr"")"),"Yolculuk Teklifi Miktarı")</f>
        <v>Yolculuk Teklifi Miktarı</v>
      </c>
      <c r="G668" s="65" t="str">
        <f>IFERROR(__xludf.DUMMYFUNCTION("GOOGLETRANSLATE(B668,""en"",""ru"")"),"Ставка на сумму поездки")</f>
        <v>Ставка на сумму поездки</v>
      </c>
      <c r="H668" s="65" t="str">
        <f>IFERROR(__xludf.DUMMYFUNCTION("GOOGLETRANSLATE(B668,""en"",""it"")"),"Offerta per l'importo del viaggio di")</f>
        <v>Offerta per l'importo del viaggio di</v>
      </c>
      <c r="I668" s="65" t="str">
        <f>IFERROR(__xludf.DUMMYFUNCTION("GOOGLETRANSLATE(B668,""en"",""de"")"),"Gebot für Fahrtbetrag von")</f>
        <v>Gebot für Fahrtbetrag von</v>
      </c>
      <c r="J668" s="65" t="str">
        <f>IFERROR(__xludf.DUMMYFUNCTION("GOOGLETRANSLATE(B668,""en"",""ko"")"),"승차 금액 입찰")</f>
        <v>승차 금액 입찰</v>
      </c>
      <c r="K668" s="65" t="str">
        <f>IFERROR(__xludf.DUMMYFUNCTION("GOOGLETRANSLATE(B668,""en"",""zh"")"),"竞价乘车金额")</f>
        <v>竞价乘车金额</v>
      </c>
      <c r="L668" s="65" t="str">
        <f>IFERROR(__xludf.DUMMYFUNCTION("GOOGLETRANSLATE(B668,""en"",""es"")"),"Oferta por importe de viaje de")</f>
        <v>Oferta por importe de viaje de</v>
      </c>
      <c r="M668" s="64" t="str">
        <f>IFERROR(__xludf.DUMMYFUNCTION("GOOGLETRANSLATE(B668,""en"",""iw"")"),"סכום ההצעה לנסיעה של")</f>
        <v>סכום ההצעה לנסיעה של</v>
      </c>
      <c r="N668" s="65" t="str">
        <f>IFERROR(__xludf.DUMMYFUNCTION("GOOGLETRANSLATE(B668,""en"",""bn"")"),"রাইড পরিমাণ জন্য বিড")</f>
        <v>রাইড পরিমাণ জন্য বিড</v>
      </c>
      <c r="O668" s="4" t="str">
        <f>IFERROR(__xludf.DUMMYFUNCTION("GOOGLETRANSLATE(B668,""en"",""pt"")"),"Lance para valor da viagem de")</f>
        <v>Lance para valor da viagem de</v>
      </c>
    </row>
    <row r="669">
      <c r="A669" s="88" t="s">
        <v>1546</v>
      </c>
      <c r="B669" s="91" t="s">
        <v>1547</v>
      </c>
      <c r="C669" s="64" t="str">
        <f>IFERROR(__xludf.DUMMYFUNCTION("GOOGLETRANSLATE(B669,""en"",""hi"")"),"सब समाप्त करें")</f>
        <v>सब समाप्त करें</v>
      </c>
      <c r="D669" s="65" t="str">
        <f>IFERROR(__xludf.DUMMYFUNCTION("GOOGLETRANSLATE(B669,""en"",""ar"")"),"نهاية كل شيء")</f>
        <v>نهاية كل شيء</v>
      </c>
      <c r="E669" s="65" t="str">
        <f>IFERROR(__xludf.DUMMYFUNCTION("GOOGLETRANSLATE(B669,""en"",""fr"")"),"Fin de tout")</f>
        <v>Fin de tout</v>
      </c>
      <c r="F669" s="65" t="str">
        <f>IFERROR(__xludf.DUMMYFUNCTION("GOOGLETRANSLATE(B669,""en"",""tr"")"),"Hepsinin Sonu")</f>
        <v>Hepsinin Sonu</v>
      </c>
      <c r="G669" s="65" t="str">
        <f>IFERROR(__xludf.DUMMYFUNCTION("GOOGLETRANSLATE(B669,""en"",""ru"")"),"Конец всего")</f>
        <v>Конец всего</v>
      </c>
      <c r="H669" s="65" t="str">
        <f>IFERROR(__xludf.DUMMYFUNCTION("GOOGLETRANSLATE(B669,""en"",""it"")"),"Fine di tutto")</f>
        <v>Fine di tutto</v>
      </c>
      <c r="I669" s="65" t="str">
        <f>IFERROR(__xludf.DUMMYFUNCTION("GOOGLETRANSLATE(B669,""en"",""de"")"),"Alle beenden")</f>
        <v>Alle beenden</v>
      </c>
      <c r="J669" s="65" t="str">
        <f>IFERROR(__xludf.DUMMYFUNCTION("GOOGLETRANSLATE(B669,""en"",""ko"")"),"모두 끝내기")</f>
        <v>모두 끝내기</v>
      </c>
      <c r="K669" s="65" t="str">
        <f>IFERROR(__xludf.DUMMYFUNCTION("GOOGLETRANSLATE(B669,""en"",""zh"")"),"结束一切")</f>
        <v>结束一切</v>
      </c>
      <c r="L669" s="65" t="str">
        <f>IFERROR(__xludf.DUMMYFUNCTION("GOOGLETRANSLATE(B669,""en"",""es"")"),"Fin de todo")</f>
        <v>Fin de todo</v>
      </c>
      <c r="M669" s="64" t="str">
        <f>IFERROR(__xludf.DUMMYFUNCTION("GOOGLETRANSLATE(B669,""en"",""iw"")"),"סוף הכל")</f>
        <v>סוף הכל</v>
      </c>
      <c r="N669" s="65" t="str">
        <f>IFERROR(__xludf.DUMMYFUNCTION("GOOGLETRANSLATE(B669,""en"",""bn"")"),"সব শেষ করুন")</f>
        <v>সব শেষ করুন</v>
      </c>
      <c r="O669" s="4" t="str">
        <f>IFERROR(__xludf.DUMMYFUNCTION("GOOGLETRANSLATE(B669,""en"",""pt"")"),"Acabar com tudo")</f>
        <v>Acabar com tudo</v>
      </c>
    </row>
    <row r="670">
      <c r="A670" s="88" t="s">
        <v>1548</v>
      </c>
      <c r="B670" s="91" t="s">
        <v>1549</v>
      </c>
      <c r="C670" s="64" t="str">
        <f>IFERROR(__xludf.DUMMYFUNCTION("GOOGLETRANSLATE(B670,""en"",""hi"")"),"इस स्टॉप को समाप्त करें")</f>
        <v>इस स्टॉप को समाप्त करें</v>
      </c>
      <c r="D670" s="65" t="str">
        <f>IFERROR(__xludf.DUMMYFUNCTION("GOOGLETRANSLATE(B670,""en"",""ar"")"),"انهاء هذه المحطة")</f>
        <v>انهاء هذه المحطة</v>
      </c>
      <c r="E670" s="65" t="str">
        <f>IFERROR(__xludf.DUMMYFUNCTION("GOOGLETRANSLATE(B670,""en"",""fr"")"),"Terminer cet arrêt")</f>
        <v>Terminer cet arrêt</v>
      </c>
      <c r="F670" s="65" t="str">
        <f>IFERROR(__xludf.DUMMYFUNCTION("GOOGLETRANSLATE(B670,""en"",""tr"")"),"Bu Durağı Sonlandır")</f>
        <v>Bu Durağı Sonlandır</v>
      </c>
      <c r="G670" s="65" t="str">
        <f>IFERROR(__xludf.DUMMYFUNCTION("GOOGLETRANSLATE(B670,""en"",""ru"")"),"Завершить эту остановку")</f>
        <v>Завершить эту остановку</v>
      </c>
      <c r="H670" s="65" t="str">
        <f>IFERROR(__xludf.DUMMYFUNCTION("GOOGLETRANSLATE(B670,""en"",""it"")"),"Termina questa fermata")</f>
        <v>Termina questa fermata</v>
      </c>
      <c r="I670" s="65" t="str">
        <f>IFERROR(__xludf.DUMMYFUNCTION("GOOGLETRANSLATE(B670,""en"",""de"")"),"Beenden Sie diesen Stopp")</f>
        <v>Beenden Sie diesen Stopp</v>
      </c>
      <c r="J670" s="65" t="str">
        <f>IFERROR(__xludf.DUMMYFUNCTION("GOOGLETRANSLATE(B670,""en"",""ko"")"),"이 정류장을 종료합니다")</f>
        <v>이 정류장을 종료합니다</v>
      </c>
      <c r="K670" s="65" t="str">
        <f>IFERROR(__xludf.DUMMYFUNCTION("GOOGLETRANSLATE(B670,""en"",""zh"")"),"结束此站")</f>
        <v>结束此站</v>
      </c>
      <c r="L670" s="65" t="str">
        <f>IFERROR(__xludf.DUMMYFUNCTION("GOOGLETRANSLATE(B670,""en"",""es"")"),"Poner fin a esta parada")</f>
        <v>Poner fin a esta parada</v>
      </c>
      <c r="M670" s="64" t="str">
        <f>IFERROR(__xludf.DUMMYFUNCTION("GOOGLETRANSLATE(B670,""en"",""iw"")"),"סיים את התחנה הזו")</f>
        <v>סיים את התחנה הזו</v>
      </c>
      <c r="N670" s="65" t="str">
        <f>IFERROR(__xludf.DUMMYFUNCTION("GOOGLETRANSLATE(B670,""en"",""bn"")"),"এই স্টপ শেষ করুন")</f>
        <v>এই স্টপ শেষ করুন</v>
      </c>
      <c r="O670" s="4" t="str">
        <f>IFERROR(__xludf.DUMMYFUNCTION("GOOGLETRANSLATE(B670,""en"",""pt"")"),"Acabe com esta parada")</f>
        <v>Acabe com esta parada</v>
      </c>
    </row>
    <row r="671">
      <c r="A671" s="88" t="s">
        <v>1550</v>
      </c>
      <c r="B671" s="91" t="s">
        <v>1551</v>
      </c>
      <c r="C671" s="64" t="str">
        <f>IFERROR(__xludf.DUMMYFUNCTION("GOOGLETRANSLATE(B671,""en"",""hi"")"),"आपने 3 और स्टॉप जोड़े हैं। क्या आप उन सभी के लिए यात्रा समाप्त करना चाहेंगे?")</f>
        <v>आपने 3 और स्टॉप जोड़े हैं। क्या आप उन सभी के लिए यात्रा समाप्त करना चाहेंगे?</v>
      </c>
      <c r="D671" s="65" t="str">
        <f>IFERROR(__xludf.DUMMYFUNCTION("GOOGLETRANSLATE(B671,""en"",""ar"")"),"لقد أضفت 3 محطات أخرى. هل ترغب في إنهاء الرحلة عند كل منها؟")</f>
        <v>لقد أضفت 3 محطات أخرى. هل ترغب في إنهاء الرحلة عند كل منها؟</v>
      </c>
      <c r="E671" s="65" t="str">
        <f>IFERROR(__xludf.DUMMYFUNCTION("GOOGLETRANSLATE(B671,""en"",""fr"")"),"Vous avez ajouté 3 arrêts supplémentaires. Souhaitez-vous terminer le voyage pour chacun d'eux ?")</f>
        <v>Vous avez ajouté 3 arrêts supplémentaires. Souhaitez-vous terminer le voyage pour chacun d'eux ?</v>
      </c>
      <c r="F671" s="65" t="str">
        <f>IFERROR(__xludf.DUMMYFUNCTION("GOOGLETRANSLATE(B671,""en"",""tr"")"),"3 Durak Daha Eklediniz. Hepsinin Yolculuğunu Sonlandırmak İster misiniz?")</f>
        <v>3 Durak Daha Eklediniz. Hepsinin Yolculuğunu Sonlandırmak İster misiniz?</v>
      </c>
      <c r="G671" s="65" t="str">
        <f>IFERROR(__xludf.DUMMYFUNCTION("GOOGLETRANSLATE(B671,""en"",""ru"")"),"Вы добавили еще 3 остановки. Хотите завершить поездку на всех из них?")</f>
        <v>Вы добавили еще 3 остановки. Хотите завершить поездку на всех из них?</v>
      </c>
      <c r="H671" s="65" t="str">
        <f>IFERROR(__xludf.DUMMYFUNCTION("GOOGLETRANSLATE(B671,""en"",""it"")"),"Hai aggiunto altre 3 fermate. Vuoi terminare il viaggio per tutte?")</f>
        <v>Hai aggiunto altre 3 fermate. Vuoi terminare il viaggio per tutte?</v>
      </c>
      <c r="I671" s="65" t="str">
        <f>IFERROR(__xludf.DUMMYFUNCTION("GOOGLETRANSLATE(B671,""en"",""de"")"),"Sie haben 3 weitere Zwischenstopps hinzugefügt. Möchten Sie die Reise für alle beenden?")</f>
        <v>Sie haben 3 weitere Zwischenstopps hinzugefügt. Möchten Sie die Reise für alle beenden?</v>
      </c>
      <c r="J671" s="65" t="str">
        <f>IFERROR(__xludf.DUMMYFUNCTION("GOOGLETRANSLATE(B671,""en"",""ko"")"),"3개의 경유지를 더 추가했습니다. 모든 경유지에서 여행을 종료하시겠습니까?")</f>
        <v>3개의 경유지를 더 추가했습니다. 모든 경유지에서 여행을 종료하시겠습니까?</v>
      </c>
      <c r="K671" s="65" t="str">
        <f>IFERROR(__xludf.DUMMYFUNCTION("GOOGLETRANSLATE(B671,""en"",""zh"")"),"您已添加另外 3 个站点。您想结束所有站点的行程吗？")</f>
        <v>您已添加另外 3 个站点。您想结束所有站点的行程吗？</v>
      </c>
      <c r="L671" s="65" t="str">
        <f>IFERROR(__xludf.DUMMYFUNCTION("GOOGLETRANSLATE(B671,""en"",""es"")"),"Has añadido 3 paradas más.¿Te gustaría finalizar el viaje para todas ellas?")</f>
        <v>Has añadido 3 paradas más.¿Te gustaría finalizar el viaje para todas ellas?</v>
      </c>
      <c r="M671" s="64" t="str">
        <f>IFERROR(__xludf.DUMMYFUNCTION("GOOGLETRANSLATE(B671,""en"",""iw"")"),"הוספת 3 עצירות נוספות. האם תרצה לסיים את הטיול עבור כולן?")</f>
        <v>הוספת 3 עצירות נוספות. האם תרצה לסיים את הטיול עבור כולן?</v>
      </c>
      <c r="N671" s="65" t="str">
        <f>IFERROR(__xludf.DUMMYFUNCTION("GOOGLETRANSLATE(B671,""en"",""bn"")"),"আপনি আরও 3টি স্টপ যোগ করেছেন৷ আপনি কি তাদের সবার জন্য ট্রিপ শেষ করতে চান?")</f>
        <v>আপনি আরও 3টি স্টপ যোগ করেছেন৷ আপনি কি তাদের সবার জন্য ট্রিপ শেষ করতে চান?</v>
      </c>
      <c r="O671" s="4" t="str">
        <f>IFERROR(__xludf.DUMMYFUNCTION("GOOGLETRANSLATE(B671,""en"",""pt"")"),"Você adicionou mais 3 paradas. Gostaria de encerrar a viagem para todas elas?")</f>
        <v>Você adicionou mais 3 paradas. Gostaria de encerrar a viagem para todas elas?</v>
      </c>
    </row>
    <row r="672">
      <c r="A672" s="88" t="s">
        <v>1552</v>
      </c>
      <c r="B672" s="91" t="s">
        <v>1553</v>
      </c>
      <c r="C672" s="64" t="str">
        <f>IFERROR(__xludf.DUMMYFUNCTION("GOOGLETRANSLATE(B672,""en"",""hi"")"),"नई यात्रा का अनुरोध किया गया")</f>
        <v>नई यात्रा का अनुरोध किया गया</v>
      </c>
      <c r="D672" s="65" t="str">
        <f>IFERROR(__xludf.DUMMYFUNCTION("GOOGLETRANSLATE(B672,""en"",""ar"")"),"تم طلب رحلة جديدة")</f>
        <v>تم طلب رحلة جديدة</v>
      </c>
      <c r="E672" s="65" t="str">
        <f>IFERROR(__xludf.DUMMYFUNCTION("GOOGLETRANSLATE(B672,""en"",""fr"")"),"Nouveau voyage demandé")</f>
        <v>Nouveau voyage demandé</v>
      </c>
      <c r="F672" s="65" t="str">
        <f>IFERROR(__xludf.DUMMYFUNCTION("GOOGLETRANSLATE(B672,""en"",""tr"")"),"Yeni Gezi Talep Edildi")</f>
        <v>Yeni Gezi Talep Edildi</v>
      </c>
      <c r="G672" s="65" t="str">
        <f>IFERROR(__xludf.DUMMYFUNCTION("GOOGLETRANSLATE(B672,""en"",""ru"")"),"Запрошена новая поездка")</f>
        <v>Запрошена новая поездка</v>
      </c>
      <c r="H672" s="65" t="str">
        <f>IFERROR(__xludf.DUMMYFUNCTION("GOOGLETRANSLATE(B672,""en"",""it"")"),"Nuovo viaggio richiesto")</f>
        <v>Nuovo viaggio richiesto</v>
      </c>
      <c r="I672" s="65" t="str">
        <f>IFERROR(__xludf.DUMMYFUNCTION("GOOGLETRANSLATE(B672,""en"",""de"")"),"Neue Reise angefordert")</f>
        <v>Neue Reise angefordert</v>
      </c>
      <c r="J672" s="65" t="str">
        <f>IFERROR(__xludf.DUMMYFUNCTION("GOOGLETRANSLATE(B672,""en"",""ko"")"),"새로운 여행 요청됨")</f>
        <v>새로운 여행 요청됨</v>
      </c>
      <c r="K672" s="65" t="str">
        <f>IFERROR(__xludf.DUMMYFUNCTION("GOOGLETRANSLATE(B672,""en"",""zh"")"),"已申请新行程")</f>
        <v>已申请新行程</v>
      </c>
      <c r="L672" s="65" t="str">
        <f>IFERROR(__xludf.DUMMYFUNCTION("GOOGLETRANSLATE(B672,""en"",""es"")"),"Nuevo viaje solicitado")</f>
        <v>Nuevo viaje solicitado</v>
      </c>
      <c r="M672" s="64" t="str">
        <f>IFERROR(__xludf.DUMMYFUNCTION("GOOGLETRANSLATE(B672,""en"",""iw"")"),"מבוקש טיול חדש")</f>
        <v>מבוקש טיול חדש</v>
      </c>
      <c r="N672" s="65" t="str">
        <f>IFERROR(__xludf.DUMMYFUNCTION("GOOGLETRANSLATE(B672,""en"",""bn"")"),"নতুন ট্রিপ অনুরোধ করা হয়েছে")</f>
        <v>নতুন ট্রিপ অনুরোধ করা হয়েছে</v>
      </c>
      <c r="O672" s="4" t="str">
        <f>IFERROR(__xludf.DUMMYFUNCTION("GOOGLETRANSLATE(B672,""en"",""pt"")"),"Nova viagem solicitada")</f>
        <v>Nova viagem solicitada</v>
      </c>
    </row>
    <row r="673">
      <c r="A673" s="88" t="s">
        <v>1554</v>
      </c>
      <c r="B673" s="91" t="s">
        <v>1555</v>
      </c>
      <c r="C673" s="64" t="str">
        <f>IFERROR(__xludf.DUMMYFUNCTION("GOOGLETRANSLATE(B673,""en"",""hi"")"),"नई यात्रा का अनुरोध किया गया है, आप बोली लगा सकते हैं या अनुरोध को अस्वीकार कर सकते हैं")</f>
        <v>नई यात्रा का अनुरोध किया गया है, आप बोली लगा सकते हैं या अनुरोध को अस्वीकार कर सकते हैं</v>
      </c>
      <c r="D673" s="65" t="str">
        <f>IFERROR(__xludf.DUMMYFUNCTION("GOOGLETRANSLATE(B673,""en"",""ar"")"),"تم طلب رحلة جديدة، يمكنك تقديم عرض أو رفض الطلب")</f>
        <v>تم طلب رحلة جديدة، يمكنك تقديم عرض أو رفض الطلب</v>
      </c>
      <c r="E673" s="65" t="str">
        <f>IFERROR(__xludf.DUMMYFUNCTION("GOOGLETRANSLATE(B673,""en"",""fr"")"),"Nouveau voyage demandé, vous pouvez enchérir ou rejeter la demande")</f>
        <v>Nouveau voyage demandé, vous pouvez enchérir ou rejeter la demande</v>
      </c>
      <c r="F673" s="65" t="str">
        <f>IFERROR(__xludf.DUMMYFUNCTION("GOOGLETRANSLATE(B673,""en"",""tr"")"),"Yeni Gezi Talep Edildi, Teklif Verebilir veya Talebi Reddedebilirsiniz")</f>
        <v>Yeni Gezi Talep Edildi, Teklif Verebilir veya Talebi Reddedebilirsiniz</v>
      </c>
      <c r="G673" s="65" t="str">
        <f>IFERROR(__xludf.DUMMYFUNCTION("GOOGLETRANSLATE(B673,""en"",""ru"")"),"Запрос на новую поездку. Вы можете сделать ставку или отклонить запрос.")</f>
        <v>Запрос на новую поездку. Вы можете сделать ставку или отклонить запрос.</v>
      </c>
      <c r="H673" s="65" t="str">
        <f>IFERROR(__xludf.DUMMYFUNCTION("GOOGLETRANSLATE(B673,""en"",""it"")"),"Nuovo viaggio richiesto, puoi fare un'offerta o rifiutare la richiesta")</f>
        <v>Nuovo viaggio richiesto, puoi fare un'offerta o rifiutare la richiesta</v>
      </c>
      <c r="I673" s="65" t="str">
        <f>IFERROR(__xludf.DUMMYFUNCTION("GOOGLETRANSLATE(B673,""en"",""de"")"),"Neue Reise angefordert, Sie können bieten oder die Anfrage ablehnen")</f>
        <v>Neue Reise angefordert, Sie können bieten oder die Anfrage ablehnen</v>
      </c>
      <c r="J673" s="65" t="str">
        <f>IFERROR(__xludf.DUMMYFUNCTION("GOOGLETRANSLATE(B673,""en"",""ko"")"),"새로운 여행이 요청되었습니다. 입찰하거나 요청을 거부할 수 있습니다.")</f>
        <v>새로운 여행이 요청되었습니다. 입찰하거나 요청을 거부할 수 있습니다.</v>
      </c>
      <c r="K673" s="65" t="str">
        <f>IFERROR(__xludf.DUMMYFUNCTION("GOOGLETRANSLATE(B673,""en"",""zh"")"),"已请求新行程，您可以竞标或拒绝该请求")</f>
        <v>已请求新行程，您可以竞标或拒绝该请求</v>
      </c>
      <c r="L673" s="65" t="str">
        <f>IFERROR(__xludf.DUMMYFUNCTION("GOOGLETRANSLATE(B673,""en"",""es"")"),"Nuevo viaje solicitado, puede ofertar o rechazar la solicitud")</f>
        <v>Nuevo viaje solicitado, puede ofertar o rechazar la solicitud</v>
      </c>
      <c r="M673" s="64" t="str">
        <f>IFERROR(__xludf.DUMMYFUNCTION("GOOGLETRANSLATE(B673,""en"",""iw"")"),"מבוקש טיול חדש, אתה יכול להגיש הצעה או לדחות את הבקשה")</f>
        <v>מבוקש טיול חדש, אתה יכול להגיש הצעה או לדחות את הבקשה</v>
      </c>
      <c r="N673" s="65" t="str">
        <f>IFERROR(__xludf.DUMMYFUNCTION("GOOGLETRANSLATE(B673,""en"",""bn"")"),"নতুন ট্রিপ অনুরোধ করা হয়েছে, আপনি বিড বা অনুরোধ প্রত্যাখ্যান করতে পারেন")</f>
        <v>নতুন ট্রিপ অনুরোধ করা হয়েছে, আপনি বিড বা অনুরোধ প্রত্যাখ্যান করতে পারেন</v>
      </c>
      <c r="O673" s="4" t="str">
        <f>IFERROR(__xludf.DUMMYFUNCTION("GOOGLETRANSLATE(B673,""en"",""pt"")"),"Nova viagem solicitada, você pode dar um lance ou rejeitar a solicitação")</f>
        <v>Nova viagem solicitada, você pode dar um lance ou rejeitar a solicitação</v>
      </c>
    </row>
    <row r="674">
      <c r="A674" s="88" t="s">
        <v>1556</v>
      </c>
      <c r="B674" s="91" t="s">
        <v>1557</v>
      </c>
      <c r="C674" s="64" t="str">
        <f>IFERROR(__xludf.DUMMYFUNCTION("GOOGLETRANSLATE(B674,""en"",""hi"")"),"अतिरिक्त जिम्मेदारी")</f>
        <v>अतिरिक्त जिम्मेदारी</v>
      </c>
      <c r="D674" s="65" t="str">
        <f>IFERROR(__xludf.DUMMYFUNCTION("GOOGLETRANSLATE(B674,""en"",""ar"")"),"رسوم إضافية")</f>
        <v>رسوم إضافية</v>
      </c>
      <c r="E674" s="65" t="str">
        <f>IFERROR(__xludf.DUMMYFUNCTION("GOOGLETRANSLATE(B674,""en"",""fr"")"),"Frais supplémentaires")</f>
        <v>Frais supplémentaires</v>
      </c>
      <c r="F674" s="65" t="str">
        <f>IFERROR(__xludf.DUMMYFUNCTION("GOOGLETRANSLATE(B674,""en"",""tr"")"),"Ek Ücretler")</f>
        <v>Ek Ücretler</v>
      </c>
      <c r="G674" s="65" t="str">
        <f>IFERROR(__xludf.DUMMYFUNCTION("GOOGLETRANSLATE(B674,""en"",""ru"")"),"Дополнительные сборы")</f>
        <v>Дополнительные сборы</v>
      </c>
      <c r="H674" s="65" t="str">
        <f>IFERROR(__xludf.DUMMYFUNCTION("GOOGLETRANSLATE(B674,""en"",""it"")"),"Costi aggiuntivi")</f>
        <v>Costi aggiuntivi</v>
      </c>
      <c r="I674" s="65" t="str">
        <f>IFERROR(__xludf.DUMMYFUNCTION("GOOGLETRANSLATE(B674,""en"",""de"")"),"Zusätzliche Kosten")</f>
        <v>Zusätzliche Kosten</v>
      </c>
      <c r="J674" s="65" t="str">
        <f>IFERROR(__xludf.DUMMYFUNCTION("GOOGLETRANSLATE(B674,""en"",""ko"")"),"추가 요금")</f>
        <v>추가 요금</v>
      </c>
      <c r="K674" s="65" t="str">
        <f>IFERROR(__xludf.DUMMYFUNCTION("GOOGLETRANSLATE(B674,""en"",""zh"")"),"额外费用")</f>
        <v>额外费用</v>
      </c>
      <c r="L674" s="65" t="str">
        <f>IFERROR(__xludf.DUMMYFUNCTION("GOOGLETRANSLATE(B674,""en"",""es"")"),"Cargos adicionales")</f>
        <v>Cargos adicionales</v>
      </c>
      <c r="M674" s="64" t="str">
        <f>IFERROR(__xludf.DUMMYFUNCTION("GOOGLETRANSLATE(B674,""en"",""iw"")"),"חיובים נוספים")</f>
        <v>חיובים נוספים</v>
      </c>
      <c r="N674" s="65" t="str">
        <f>IFERROR(__xludf.DUMMYFUNCTION("GOOGLETRANSLATE(B674,""en"",""bn"")"),"অতিরিক্ত চার্জ")</f>
        <v>অতিরিক্ত চার্জ</v>
      </c>
      <c r="O674" s="4" t="str">
        <f>IFERROR(__xludf.DUMMYFUNCTION("GOOGLETRANSLATE(B674,""en"",""pt"")"),"Taxas adicionais")</f>
        <v>Taxas adicionais</v>
      </c>
    </row>
    <row r="675">
      <c r="A675" s="88" t="s">
        <v>1558</v>
      </c>
      <c r="B675" s="91" t="s">
        <v>1559</v>
      </c>
      <c r="C675" s="64" t="str">
        <f>IFERROR(__xludf.DUMMYFUNCTION("GOOGLETRANSLATE(B675,""en"",""hi"")"),"अतिरिक्त शुल्क")</f>
        <v>अतिरिक्त शुल्क</v>
      </c>
      <c r="D675" s="65" t="str">
        <f>IFERROR(__xludf.DUMMYFUNCTION("GOOGLETRANSLATE(B675,""en"",""ar"")"),"رسوم إضافية")</f>
        <v>رسوم إضافية</v>
      </c>
      <c r="E675" s="65" t="str">
        <f>IFERROR(__xludf.DUMMYFUNCTION("GOOGLETRANSLATE(B675,""en"",""fr"")"),"Frais supplémentaires")</f>
        <v>Frais supplémentaires</v>
      </c>
      <c r="F675" s="65" t="str">
        <f>IFERROR(__xludf.DUMMYFUNCTION("GOOGLETRANSLATE(B675,""en"",""tr"")"),"Ek Ücret")</f>
        <v>Ek Ücret</v>
      </c>
      <c r="G675" s="65" t="str">
        <f>IFERROR(__xludf.DUMMYFUNCTION("GOOGLETRANSLATE(B675,""en"",""ru"")"),"Дополнительная плата")</f>
        <v>Дополнительная плата</v>
      </c>
      <c r="H675" s="65" t="str">
        <f>IFERROR(__xludf.DUMMYFUNCTION("GOOGLETRANSLATE(B675,""en"",""it"")"),"Costo aggiuntivo")</f>
        <v>Costo aggiuntivo</v>
      </c>
      <c r="I675" s="65" t="str">
        <f>IFERROR(__xludf.DUMMYFUNCTION("GOOGLETRANSLATE(B675,""en"",""de"")"),"Zusätzliche Gebühr")</f>
        <v>Zusätzliche Gebühr</v>
      </c>
      <c r="J675" s="65" t="str">
        <f>IFERROR(__xludf.DUMMYFUNCTION("GOOGLETRANSLATE(B675,""en"",""ko"")"),"추가 요금")</f>
        <v>추가 요금</v>
      </c>
      <c r="K675" s="65" t="str">
        <f>IFERROR(__xludf.DUMMYFUNCTION("GOOGLETRANSLATE(B675,""en"",""zh"")"),"额外费用")</f>
        <v>额外费用</v>
      </c>
      <c r="L675" s="65" t="str">
        <f>IFERROR(__xludf.DUMMYFUNCTION("GOOGLETRANSLATE(B675,""en"",""es"")"),"Tarifa adicional")</f>
        <v>Tarifa adicional</v>
      </c>
      <c r="M675" s="64" t="str">
        <f>IFERROR(__xludf.DUMMYFUNCTION("GOOGLETRANSLATE(B675,""en"",""iw"")"),"עמלה נוספת")</f>
        <v>עמלה נוספת</v>
      </c>
      <c r="N675" s="65" t="str">
        <f>IFERROR(__xludf.DUMMYFUNCTION("GOOGLETRANSLATE(B675,""en"",""bn"")"),"অতিরিক্ত ফি")</f>
        <v>অতিরিক্ত ফি</v>
      </c>
      <c r="O675" s="4" t="str">
        <f>IFERROR(__xludf.DUMMYFUNCTION("GOOGLETRANSLATE(B675,""en"",""pt"")"),"Taxa adicional")</f>
        <v>Taxa adicional</v>
      </c>
    </row>
    <row r="676">
      <c r="A676" s="88" t="s">
        <v>1560</v>
      </c>
      <c r="B676" s="91" t="s">
        <v>1561</v>
      </c>
      <c r="C676" s="64" t="str">
        <f>IFERROR(__xludf.DUMMYFUNCTION("GOOGLETRANSLATE(B676,""en"",""hi"")"),"शुल्क विवरण")</f>
        <v>शुल्क विवरण</v>
      </c>
      <c r="D676" s="65" t="str">
        <f>IFERROR(__xludf.DUMMYFUNCTION("GOOGLETRANSLATE(B676,""en"",""ar"")"),"تفاصيل الرسوم")</f>
        <v>تفاصيل الرسوم</v>
      </c>
      <c r="E676" s="65" t="str">
        <f>IFERROR(__xludf.DUMMYFUNCTION("GOOGLETRANSLATE(B676,""en"",""fr"")"),"Détails des frais")</f>
        <v>Détails des frais</v>
      </c>
      <c r="F676" s="65" t="str">
        <f>IFERROR(__xludf.DUMMYFUNCTION("GOOGLETRANSLATE(B676,""en"",""tr"")"),"Ücret detayları")</f>
        <v>Ücret detayları</v>
      </c>
      <c r="G676" s="65" t="str">
        <f>IFERROR(__xludf.DUMMYFUNCTION("GOOGLETRANSLATE(B676,""en"",""ru"")"),"Подробности платежа")</f>
        <v>Подробности платежа</v>
      </c>
      <c r="H676" s="65" t="str">
        <f>IFERROR(__xludf.DUMMYFUNCTION("GOOGLETRANSLATE(B676,""en"",""it"")"),"Dettagli di addebito")</f>
        <v>Dettagli di addebito</v>
      </c>
      <c r="I676" s="65" t="str">
        <f>IFERROR(__xludf.DUMMYFUNCTION("GOOGLETRANSLATE(B676,""en"",""de"")"),"Gebührendetails")</f>
        <v>Gebührendetails</v>
      </c>
      <c r="J676" s="65" t="str">
        <f>IFERROR(__xludf.DUMMYFUNCTION("GOOGLETRANSLATE(B676,""en"",""ko"")"),"요금 세부 정보")</f>
        <v>요금 세부 정보</v>
      </c>
      <c r="K676" s="65" t="str">
        <f>IFERROR(__xludf.DUMMYFUNCTION("GOOGLETRANSLATE(B676,""en"",""zh"")"),"收费详情")</f>
        <v>收费详情</v>
      </c>
      <c r="L676" s="65" t="str">
        <f>IFERROR(__xludf.DUMMYFUNCTION("GOOGLETRANSLATE(B676,""en"",""es"")"),"Detalles del cargo")</f>
        <v>Detalles del cargo</v>
      </c>
      <c r="M676" s="64" t="str">
        <f>IFERROR(__xludf.DUMMYFUNCTION("GOOGLETRANSLATE(B676,""en"",""iw"")"),"פרטי חיוב")</f>
        <v>פרטי חיוב</v>
      </c>
      <c r="N676" s="65" t="str">
        <f>IFERROR(__xludf.DUMMYFUNCTION("GOOGLETRANSLATE(B676,""en"",""bn"")"),"চার্জ বিবরণ")</f>
        <v>চার্জ বিবরণ</v>
      </c>
      <c r="O676" s="4" t="str">
        <f>IFERROR(__xludf.DUMMYFUNCTION("GOOGLETRANSLATE(B676,""en"",""pt"")"),"Detalhes da cobrança")</f>
        <v>Detalhes da cobrança</v>
      </c>
    </row>
    <row r="677">
      <c r="A677" s="88" t="s">
        <v>1562</v>
      </c>
      <c r="B677" s="91" t="s">
        <v>1563</v>
      </c>
      <c r="C677" s="64" t="str">
        <f>IFERROR(__xludf.DUMMYFUNCTION("GOOGLETRANSLATE(B677,""en"",""hi"")"),"मात्रा")</f>
        <v>मात्रा</v>
      </c>
      <c r="D677" s="65" t="str">
        <f>IFERROR(__xludf.DUMMYFUNCTION("GOOGLETRANSLATE(B677,""en"",""ar"")"),"كمية")</f>
        <v>كمية</v>
      </c>
      <c r="E677" s="65" t="str">
        <f>IFERROR(__xludf.DUMMYFUNCTION("GOOGLETRANSLATE(B677,""en"",""fr"")"),"Montant")</f>
        <v>Montant</v>
      </c>
      <c r="F677" s="65" t="str">
        <f>IFERROR(__xludf.DUMMYFUNCTION("GOOGLETRANSLATE(B677,""en"",""tr"")"),"Miktar")</f>
        <v>Miktar</v>
      </c>
      <c r="G677" s="65" t="str">
        <f>IFERROR(__xludf.DUMMYFUNCTION("GOOGLETRANSLATE(B677,""en"",""ru"")"),"Количество")</f>
        <v>Количество</v>
      </c>
      <c r="H677" s="65" t="str">
        <f>IFERROR(__xludf.DUMMYFUNCTION("GOOGLETRANSLATE(B677,""en"",""it"")"),"Quantità")</f>
        <v>Quantità</v>
      </c>
      <c r="I677" s="65" t="str">
        <f>IFERROR(__xludf.DUMMYFUNCTION("GOOGLETRANSLATE(B677,""en"",""de"")"),"Menge")</f>
        <v>Menge</v>
      </c>
      <c r="J677" s="65" t="str">
        <f>IFERROR(__xludf.DUMMYFUNCTION("GOOGLETRANSLATE(B677,""en"",""ko"")"),"양")</f>
        <v>양</v>
      </c>
      <c r="K677" s="65" t="str">
        <f>IFERROR(__xludf.DUMMYFUNCTION("GOOGLETRANSLATE(B677,""en"",""zh"")"),"数量")</f>
        <v>数量</v>
      </c>
      <c r="L677" s="65" t="str">
        <f>IFERROR(__xludf.DUMMYFUNCTION("GOOGLETRANSLATE(B677,""en"",""es"")"),"Cantidad")</f>
        <v>Cantidad</v>
      </c>
      <c r="M677" s="64" t="str">
        <f>IFERROR(__xludf.DUMMYFUNCTION("GOOGLETRANSLATE(B677,""en"",""iw"")"),"סְכוּם")</f>
        <v>סְכוּם</v>
      </c>
      <c r="N677" s="65" t="str">
        <f>IFERROR(__xludf.DUMMYFUNCTION("GOOGLETRANSLATE(B677,""en"",""bn"")"),"পরিমাণ")</f>
        <v>পরিমাণ</v>
      </c>
      <c r="O677" s="4" t="str">
        <f>IFERROR(__xludf.DUMMYFUNCTION("GOOGLETRANSLATE(B677,""en"",""pt"")"),"Quantia")</f>
        <v>Quantia</v>
      </c>
    </row>
    <row r="678">
      <c r="A678" s="88" t="s">
        <v>1564</v>
      </c>
      <c r="B678" s="91" t="s">
        <v>1565</v>
      </c>
      <c r="C678" s="64" t="str">
        <f>IFERROR(__xludf.DUMMYFUNCTION("GOOGLETRANSLATE(B678,""en"",""hi"")"),"कृपया सभी फ़ील्ड भरें")</f>
        <v>कृपया सभी फ़ील्ड भरें</v>
      </c>
      <c r="D678" s="65" t="str">
        <f>IFERROR(__xludf.DUMMYFUNCTION("GOOGLETRANSLATE(B678,""en"",""ar"")"),"يرجى ملء جميع الحقول")</f>
        <v>يرجى ملء جميع الحقول</v>
      </c>
      <c r="E678" s="65" t="str">
        <f>IFERROR(__xludf.DUMMYFUNCTION("GOOGLETRANSLATE(B678,""en"",""fr"")"),"Veuillez remplir tous les champs")</f>
        <v>Veuillez remplir tous les champs</v>
      </c>
      <c r="F678" s="65" t="str">
        <f>IFERROR(__xludf.DUMMYFUNCTION("GOOGLETRANSLATE(B678,""en"",""tr"")"),"Lütfen tüm alanları doldurun")</f>
        <v>Lütfen tüm alanları doldurun</v>
      </c>
      <c r="G678" s="65" t="str">
        <f>IFERROR(__xludf.DUMMYFUNCTION("GOOGLETRANSLATE(B678,""en"",""ru"")"),"Пожалуйста, заполните все поля")</f>
        <v>Пожалуйста, заполните все поля</v>
      </c>
      <c r="H678" s="65" t="str">
        <f>IFERROR(__xludf.DUMMYFUNCTION("GOOGLETRANSLATE(B678,""en"",""it"")"),"Si prega di compilare tutti i campi")</f>
        <v>Si prega di compilare tutti i campi</v>
      </c>
      <c r="I678" s="65" t="str">
        <f>IFERROR(__xludf.DUMMYFUNCTION("GOOGLETRANSLATE(B678,""en"",""de"")"),"Bitte füllen Sie alle Felder aus")</f>
        <v>Bitte füllen Sie alle Felder aus</v>
      </c>
      <c r="J678" s="65" t="str">
        <f>IFERROR(__xludf.DUMMYFUNCTION("GOOGLETRANSLATE(B678,""en"",""ko"")"),"모든 필드를 채워주세요")</f>
        <v>모든 필드를 채워주세요</v>
      </c>
      <c r="K678" s="65" t="str">
        <f>IFERROR(__xludf.DUMMYFUNCTION("GOOGLETRANSLATE(B678,""en"",""zh"")"),"请填写所有字段")</f>
        <v>请填写所有字段</v>
      </c>
      <c r="L678" s="65" t="str">
        <f>IFERROR(__xludf.DUMMYFUNCTION("GOOGLETRANSLATE(B678,""en"",""es"")"),"Por favor rellene todos los campos")</f>
        <v>Por favor rellene todos los campos</v>
      </c>
      <c r="M678" s="64" t="str">
        <f>IFERROR(__xludf.DUMMYFUNCTION("GOOGLETRANSLATE(B678,""en"",""iw"")"),"נא למלא את כל השדות")</f>
        <v>נא למלא את כל השדות</v>
      </c>
      <c r="N678" s="65" t="str">
        <f>IFERROR(__xludf.DUMMYFUNCTION("GOOGLETRANSLATE(B678,""en"",""bn"")"),"সব ক্ষেত্র পূরণ করুন")</f>
        <v>সব ক্ষেত্র পূরণ করুন</v>
      </c>
      <c r="O678" s="4" t="str">
        <f>IFERROR(__xludf.DUMMYFUNCTION("GOOGLETRANSLATE(B678,""en"",""pt"")"),"Por favor preencha todos os campos")</f>
        <v>Por favor preencha todos os campos</v>
      </c>
    </row>
    <row r="679">
      <c r="A679" s="88" t="s">
        <v>1566</v>
      </c>
      <c r="B679" s="91" t="s">
        <v>1567</v>
      </c>
      <c r="C679" s="64" t="str">
        <f>IFERROR(__xludf.DUMMYFUNCTION("GOOGLETRANSLATE(B679,""en"",""hi"")"),"कारण")</f>
        <v>कारण</v>
      </c>
      <c r="D679" s="65" t="str">
        <f>IFERROR(__xludf.DUMMYFUNCTION("GOOGLETRANSLATE(B679,""en"",""ar"")"),"سبب")</f>
        <v>سبب</v>
      </c>
      <c r="E679" s="65" t="str">
        <f>IFERROR(__xludf.DUMMYFUNCTION("GOOGLETRANSLATE(B679,""en"",""fr"")"),"Raison")</f>
        <v>Raison</v>
      </c>
      <c r="F679" s="65" t="str">
        <f>IFERROR(__xludf.DUMMYFUNCTION("GOOGLETRANSLATE(B679,""en"",""tr"")"),"Sebep")</f>
        <v>Sebep</v>
      </c>
      <c r="G679" s="65" t="str">
        <f>IFERROR(__xludf.DUMMYFUNCTION("GOOGLETRANSLATE(B679,""en"",""ru"")"),"Причина")</f>
        <v>Причина</v>
      </c>
      <c r="H679" s="65" t="str">
        <f>IFERROR(__xludf.DUMMYFUNCTION("GOOGLETRANSLATE(B679,""en"",""it"")"),"Motivo")</f>
        <v>Motivo</v>
      </c>
      <c r="I679" s="65" t="str">
        <f>IFERROR(__xludf.DUMMYFUNCTION("GOOGLETRANSLATE(B679,""en"",""de"")"),"Grund")</f>
        <v>Grund</v>
      </c>
      <c r="J679" s="65" t="str">
        <f>IFERROR(__xludf.DUMMYFUNCTION("GOOGLETRANSLATE(B679,""en"",""ko"")"),"이유")</f>
        <v>이유</v>
      </c>
      <c r="K679" s="65" t="str">
        <f>IFERROR(__xludf.DUMMYFUNCTION("GOOGLETRANSLATE(B679,""en"",""zh"")"),"原因")</f>
        <v>原因</v>
      </c>
      <c r="L679" s="65" t="str">
        <f>IFERROR(__xludf.DUMMYFUNCTION("GOOGLETRANSLATE(B679,""en"",""es"")"),"Razón")</f>
        <v>Razón</v>
      </c>
      <c r="M679" s="64" t="str">
        <f>IFERROR(__xludf.DUMMYFUNCTION("GOOGLETRANSLATE(B679,""en"",""iw"")"),"לְנַמֵק")</f>
        <v>לְנַמֵק</v>
      </c>
      <c r="N679" s="65" t="str">
        <f>IFERROR(__xludf.DUMMYFUNCTION("GOOGLETRANSLATE(B679,""en"",""bn"")"),"কারণ")</f>
        <v>কারণ</v>
      </c>
      <c r="O679" s="4" t="str">
        <f>IFERROR(__xludf.DUMMYFUNCTION("GOOGLETRANSLATE(B679,""en"",""pt"")"),"Razão")</f>
        <v>Razão</v>
      </c>
    </row>
    <row r="680">
      <c r="A680" s="92" t="s">
        <v>1568</v>
      </c>
      <c r="B680" s="93" t="s">
        <v>1569</v>
      </c>
      <c r="C680" s="64" t="str">
        <f>IFERROR(__xludf.DUMMYFUNCTION("GOOGLETRANSLATE(B680,""en"",""hi"")"),"सुझाया गया ट्रक आकार")</f>
        <v>सुझाया गया ट्रक आकार</v>
      </c>
      <c r="D680" s="65" t="str">
        <f>IFERROR(__xludf.DUMMYFUNCTION("GOOGLETRANSLATE(B680,""en"",""ar"")"),"حجم الشاحنة المقترح")</f>
        <v>حجم الشاحنة المقترح</v>
      </c>
      <c r="E680" s="65" t="str">
        <f>IFERROR(__xludf.DUMMYFUNCTION("GOOGLETRANSLATE(B680,""en"",""fr"")"),"Taille de camion suggérée")</f>
        <v>Taille de camion suggérée</v>
      </c>
      <c r="F680" s="65" t="str">
        <f>IFERROR(__xludf.DUMMYFUNCTION("GOOGLETRANSLATE(B680,""en"",""tr"")"),"Önerilen Kamyon Boyutu")</f>
        <v>Önerilen Kamyon Boyutu</v>
      </c>
      <c r="G680" s="65" t="str">
        <f>IFERROR(__xludf.DUMMYFUNCTION("GOOGLETRANSLATE(B680,""en"",""ru"")"),"Рекомендуемый размер грузовика")</f>
        <v>Рекомендуемый размер грузовика</v>
      </c>
      <c r="H680" s="65" t="str">
        <f>IFERROR(__xludf.DUMMYFUNCTION("GOOGLETRANSLATE(B680,""en"",""it"")"),"Dimensioni consigliate del camion")</f>
        <v>Dimensioni consigliate del camion</v>
      </c>
      <c r="I680" s="65" t="str">
        <f>IFERROR(__xludf.DUMMYFUNCTION("GOOGLETRANSLATE(B680,""en"",""de"")"),"Empfohlene LKW-Größe")</f>
        <v>Empfohlene LKW-Größe</v>
      </c>
      <c r="J680" s="65" t="str">
        <f>IFERROR(__xludf.DUMMYFUNCTION("GOOGLETRANSLATE(B680,""en"",""ko"")"),"제안된 트럭 크기")</f>
        <v>제안된 트럭 크기</v>
      </c>
      <c r="K680" s="65" t="str">
        <f>IFERROR(__xludf.DUMMYFUNCTION("GOOGLETRANSLATE(B680,""en"",""zh"")"),"建议卡车尺寸")</f>
        <v>建议卡车尺寸</v>
      </c>
      <c r="L680" s="65" t="str">
        <f>IFERROR(__xludf.DUMMYFUNCTION("GOOGLETRANSLATE(B680,""en"",""es"")"),"Tamaño de camión sugerido")</f>
        <v>Tamaño de camión sugerido</v>
      </c>
      <c r="M680" s="64" t="str">
        <f>IFERROR(__xludf.DUMMYFUNCTION("GOOGLETRANSLATE(B680,""en"",""iw"")"),"גודל משאית מומלץ")</f>
        <v>גודל משאית מומלץ</v>
      </c>
      <c r="N680" s="65" t="str">
        <f>IFERROR(__xludf.DUMMYFUNCTION("GOOGLETRANSLATE(B680,""en"",""bn"")"),"প্রস্তাবিত ট্রাক আকার")</f>
        <v>প্রস্তাবিত ট্রাক আকার</v>
      </c>
      <c r="O680" s="4" t="str">
        <f>IFERROR(__xludf.DUMMYFUNCTION("GOOGLETRANSLATE(B680,""en"",""pt"")"),"Tamanho sugerido do caminhão")</f>
        <v>Tamanho sugerido do caminhão</v>
      </c>
    </row>
    <row r="681">
      <c r="A681" s="92" t="s">
        <v>1570</v>
      </c>
      <c r="B681" s="93" t="s">
        <v>1571</v>
      </c>
      <c r="C681" s="64" t="str">
        <f>IFERROR(__xludf.DUMMYFUNCTION("GOOGLETRANSLATE(B681,""en"",""hi"")"),"चयनित ट्रक आकार")</f>
        <v>चयनित ट्रक आकार</v>
      </c>
      <c r="D681" s="65" t="str">
        <f>IFERROR(__xludf.DUMMYFUNCTION("GOOGLETRANSLATE(B681,""en"",""ar"")"),"حجم الشاحنة المحدد")</f>
        <v>حجم الشاحنة المحدد</v>
      </c>
      <c r="E681" s="65" t="str">
        <f>IFERROR(__xludf.DUMMYFUNCTION("GOOGLETRANSLATE(B681,""en"",""fr"")"),"Taille de camion sélectionnée")</f>
        <v>Taille de camion sélectionnée</v>
      </c>
      <c r="F681" s="65" t="str">
        <f>IFERROR(__xludf.DUMMYFUNCTION("GOOGLETRANSLATE(B681,""en"",""tr"")"),"Seçili Kamyon Boyutu")</f>
        <v>Seçili Kamyon Boyutu</v>
      </c>
      <c r="G681" s="65" t="str">
        <f>IFERROR(__xludf.DUMMYFUNCTION("GOOGLETRANSLATE(B681,""en"",""ru"")"),"Выбранный размер грузовика")</f>
        <v>Выбранный размер грузовика</v>
      </c>
      <c r="H681" s="65" t="str">
        <f>IFERROR(__xludf.DUMMYFUNCTION("GOOGLETRANSLATE(B681,""en"",""it"")"),"Dimensioni del camion selezionate")</f>
        <v>Dimensioni del camion selezionate</v>
      </c>
      <c r="I681" s="65" t="str">
        <f>IFERROR(__xludf.DUMMYFUNCTION("GOOGLETRANSLATE(B681,""en"",""de"")"),"Ausgewählte LKW-Größe")</f>
        <v>Ausgewählte LKW-Größe</v>
      </c>
      <c r="J681" s="65" t="str">
        <f>IFERROR(__xludf.DUMMYFUNCTION("GOOGLETRANSLATE(B681,""en"",""ko"")"),"선택된 트럭 크기")</f>
        <v>선택된 트럭 크기</v>
      </c>
      <c r="K681" s="65" t="str">
        <f>IFERROR(__xludf.DUMMYFUNCTION("GOOGLETRANSLATE(B681,""en"",""zh"")"),"选定的卡车尺寸")</f>
        <v>选定的卡车尺寸</v>
      </c>
      <c r="L681" s="65" t="str">
        <f>IFERROR(__xludf.DUMMYFUNCTION("GOOGLETRANSLATE(B681,""en"",""es"")"),"Tamaño de camión seleccionado")</f>
        <v>Tamaño de camión seleccionado</v>
      </c>
      <c r="M681" s="64" t="str">
        <f>IFERROR(__xludf.DUMMYFUNCTION("GOOGLETRANSLATE(B681,""en"",""iw"")"),"גודל משאית נבחר")</f>
        <v>גודל משאית נבחר</v>
      </c>
      <c r="N681" s="65" t="str">
        <f>IFERROR(__xludf.DUMMYFUNCTION("GOOGLETRANSLATE(B681,""en"",""bn"")"),"নির্বাচিত ট্রাক আকার")</f>
        <v>নির্বাচিত ট্রাক আকার</v>
      </c>
      <c r="O681" s="4" t="str">
        <f>IFERROR(__xludf.DUMMYFUNCTION("GOOGLETRANSLATE(B681,""en"",""pt"")"),"Tamanho do caminhão selecionado")</f>
        <v>Tamanho do caminhão selecionado</v>
      </c>
    </row>
    <row r="682">
      <c r="A682" s="92" t="s">
        <v>1572</v>
      </c>
      <c r="B682" s="93" t="s">
        <v>1573</v>
      </c>
      <c r="C682" s="64" t="str">
        <f>IFERROR(__xludf.DUMMYFUNCTION("GOOGLETRANSLATE(B682,""en"",""hi"")"),"सुझावों")</f>
        <v>सुझावों</v>
      </c>
      <c r="D682" s="65" t="str">
        <f>IFERROR(__xludf.DUMMYFUNCTION("GOOGLETRANSLATE(B682,""en"",""ar"")"),"نصائح")</f>
        <v>نصائح</v>
      </c>
      <c r="E682" s="65" t="str">
        <f>IFERROR(__xludf.DUMMYFUNCTION("GOOGLETRANSLATE(B682,""en"",""fr"")"),"Conseils")</f>
        <v>Conseils</v>
      </c>
      <c r="F682" s="65" t="str">
        <f>IFERROR(__xludf.DUMMYFUNCTION("GOOGLETRANSLATE(B682,""en"",""tr"")"),"İpuçları")</f>
        <v>İpuçları</v>
      </c>
      <c r="G682" s="65" t="str">
        <f>IFERROR(__xludf.DUMMYFUNCTION("GOOGLETRANSLATE(B682,""en"",""ru"")"),"Советы")</f>
        <v>Советы</v>
      </c>
      <c r="H682" s="65" t="str">
        <f>IFERROR(__xludf.DUMMYFUNCTION("GOOGLETRANSLATE(B682,""en"",""it"")"),"Suggerimenti")</f>
        <v>Suggerimenti</v>
      </c>
      <c r="I682" s="65" t="str">
        <f>IFERROR(__xludf.DUMMYFUNCTION("GOOGLETRANSLATE(B682,""en"",""de"")"),"Tipps")</f>
        <v>Tipps</v>
      </c>
      <c r="J682" s="65" t="str">
        <f>IFERROR(__xludf.DUMMYFUNCTION("GOOGLETRANSLATE(B682,""en"",""ko"")"),"팁")</f>
        <v>팁</v>
      </c>
      <c r="K682" s="65" t="str">
        <f>IFERROR(__xludf.DUMMYFUNCTION("GOOGLETRANSLATE(B682,""en"",""zh"")"),"尖端")</f>
        <v>尖端</v>
      </c>
      <c r="L682" s="65" t="str">
        <f>IFERROR(__xludf.DUMMYFUNCTION("GOOGLETRANSLATE(B682,""en"",""es"")"),"Consejos")</f>
        <v>Consejos</v>
      </c>
      <c r="M682" s="64" t="str">
        <f>IFERROR(__xludf.DUMMYFUNCTION("GOOGLETRANSLATE(B682,""en"",""iw"")"),"טיפים")</f>
        <v>טיפים</v>
      </c>
      <c r="N682" s="65" t="str">
        <f>IFERROR(__xludf.DUMMYFUNCTION("GOOGLETRANSLATE(B682,""en"",""bn"")"),"টিপস")</f>
        <v>টিপস</v>
      </c>
      <c r="O682" s="4" t="str">
        <f>IFERROR(__xludf.DUMMYFUNCTION("GOOGLETRANSLATE(B682,""en"",""pt"")"),"Pontas")</f>
        <v>Pontas</v>
      </c>
    </row>
    <row r="683">
      <c r="A683" s="92" t="s">
        <v>1574</v>
      </c>
      <c r="B683" s="14" t="s">
        <v>1575</v>
      </c>
      <c r="C683" s="64" t="str">
        <f>IFERROR(__xludf.DUMMYFUNCTION("GOOGLETRANSLATE(B683,""en"",""hi"")"),"सुझाव जोड़ें")</f>
        <v>सुझाव जोड़ें</v>
      </c>
      <c r="D683" s="65" t="str">
        <f>IFERROR(__xludf.DUMMYFUNCTION("GOOGLETRANSLATE(B683,""en"",""ar"")"),"إضافة نصائح")</f>
        <v>إضافة نصائح</v>
      </c>
      <c r="E683" s="65" t="str">
        <f>IFERROR(__xludf.DUMMYFUNCTION("GOOGLETRANSLATE(B683,""en"",""fr"")"),"Ajouter des conseils")</f>
        <v>Ajouter des conseils</v>
      </c>
      <c r="F683" s="65" t="str">
        <f>IFERROR(__xludf.DUMMYFUNCTION("GOOGLETRANSLATE(B683,""en"",""tr"")"),"İpuçları Ekle")</f>
        <v>İpuçları Ekle</v>
      </c>
      <c r="G683" s="65" t="str">
        <f>IFERROR(__xludf.DUMMYFUNCTION("GOOGLETRANSLATE(B683,""en"",""ru"")"),"Добавить советы")</f>
        <v>Добавить советы</v>
      </c>
      <c r="H683" s="65" t="str">
        <f>IFERROR(__xludf.DUMMYFUNCTION("GOOGLETRANSLATE(B683,""en"",""it"")"),"Aggiungi suggerimenti")</f>
        <v>Aggiungi suggerimenti</v>
      </c>
      <c r="I683" s="65" t="str">
        <f>IFERROR(__xludf.DUMMYFUNCTION("GOOGLETRANSLATE(B683,""en"",""de"")"),"Tipps hinzufügen")</f>
        <v>Tipps hinzufügen</v>
      </c>
      <c r="J683" s="65" t="str">
        <f>IFERROR(__xludf.DUMMYFUNCTION("GOOGLETRANSLATE(B683,""en"",""ko"")"),"팁 추가")</f>
        <v>팁 추가</v>
      </c>
      <c r="K683" s="65" t="str">
        <f>IFERROR(__xludf.DUMMYFUNCTION("GOOGLETRANSLATE(B683,""en"",""zh"")"),"添加提示")</f>
        <v>添加提示</v>
      </c>
      <c r="L683" s="65" t="str">
        <f>IFERROR(__xludf.DUMMYFUNCTION("GOOGLETRANSLATE(B683,""en"",""es"")"),"Añadir consejos")</f>
        <v>Añadir consejos</v>
      </c>
      <c r="M683" s="64" t="str">
        <f>IFERROR(__xludf.DUMMYFUNCTION("GOOGLETRANSLATE(B683,""en"",""iw"")"),"הוסף טיפים")</f>
        <v>הוסף טיפים</v>
      </c>
      <c r="N683" s="65" t="str">
        <f>IFERROR(__xludf.DUMMYFUNCTION("GOOGLETRANSLATE(B683,""en"",""bn"")"),"টিপস যোগ করুন")</f>
        <v>টিপস যোগ করুন</v>
      </c>
      <c r="O683" s="4" t="str">
        <f>IFERROR(__xludf.DUMMYFUNCTION("GOOGLETRANSLATE(B683,""en"",""pt"")"),"Adicionar dicas")</f>
        <v>Adicionar dicas</v>
      </c>
    </row>
    <row r="684">
      <c r="A684" s="92" t="s">
        <v>1576</v>
      </c>
      <c r="B684" s="14" t="s">
        <v>1577</v>
      </c>
      <c r="C684" s="64" t="str">
        <f>IFERROR(__xludf.DUMMYFUNCTION("GOOGLETRANSLATE(B684,""en"",""hi"")"),"टिप्स सहित")</f>
        <v>टिप्स सहित</v>
      </c>
      <c r="D684" s="65" t="str">
        <f>IFERROR(__xludf.DUMMYFUNCTION("GOOGLETRANSLATE(B684,""en"",""ar"")"),"بما في ذلك النصائح")</f>
        <v>بما في ذلك النصائح</v>
      </c>
      <c r="E684" s="65" t="str">
        <f>IFERROR(__xludf.DUMMYFUNCTION("GOOGLETRANSLATE(B684,""en"",""fr"")"),"Pourboires inclus")</f>
        <v>Pourboires inclus</v>
      </c>
      <c r="F684" s="65" t="str">
        <f>IFERROR(__xludf.DUMMYFUNCTION("GOOGLETRANSLATE(B684,""en"",""tr"")"),"Bahşişler Dahil")</f>
        <v>Bahşişler Dahil</v>
      </c>
      <c r="G684" s="65" t="str">
        <f>IFERROR(__xludf.DUMMYFUNCTION("GOOGLETRANSLATE(B684,""en"",""ru"")"),"Включая чаевые")</f>
        <v>Включая чаевые</v>
      </c>
      <c r="H684" s="65" t="str">
        <f>IFERROR(__xludf.DUMMYFUNCTION("GOOGLETRANSLATE(B684,""en"",""it"")"),"Mance incluse")</f>
        <v>Mance incluse</v>
      </c>
      <c r="I684" s="65" t="str">
        <f>IFERROR(__xludf.DUMMYFUNCTION("GOOGLETRANSLATE(B684,""en"",""de"")"),"Inklusive Trinkgeld")</f>
        <v>Inklusive Trinkgeld</v>
      </c>
      <c r="J684" s="65" t="str">
        <f>IFERROR(__xludf.DUMMYFUNCTION("GOOGLETRANSLATE(B684,""en"",""ko"")"),"팁 포함")</f>
        <v>팁 포함</v>
      </c>
      <c r="K684" s="65" t="str">
        <f>IFERROR(__xludf.DUMMYFUNCTION("GOOGLETRANSLATE(B684,""en"",""zh"")"),"包含小费")</f>
        <v>包含小费</v>
      </c>
      <c r="L684" s="65" t="str">
        <f>IFERROR(__xludf.DUMMYFUNCTION("GOOGLETRANSLATE(B684,""en"",""es"")"),"Incluye propinas")</f>
        <v>Incluye propinas</v>
      </c>
      <c r="M684" s="64" t="str">
        <f>IFERROR(__xludf.DUMMYFUNCTION("GOOGLETRANSLATE(B684,""en"",""iw"")"),"כולל טיפים")</f>
        <v>כולל טיפים</v>
      </c>
      <c r="N684" s="65" t="str">
        <f>IFERROR(__xludf.DUMMYFUNCTION("GOOGLETRANSLATE(B684,""en"",""bn"")"),"টিপস সহ")</f>
        <v>টিপস সহ</v>
      </c>
      <c r="O684" s="4" t="str">
        <f>IFERROR(__xludf.DUMMYFUNCTION("GOOGLETRANSLATE(B684,""en"",""pt"")"),"Incluindo gorjetas")</f>
        <v>Incluindo gorjetas</v>
      </c>
    </row>
    <row r="696" ht="24.75" customHeight="1"/>
  </sheetData>
  <drawing r:id="rId1"/>
  <tableParts count="6">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c r="B1" s="1"/>
      <c r="C1" s="1"/>
      <c r="D1" s="1"/>
      <c r="E1" s="1"/>
      <c r="F1" s="1"/>
      <c r="G1" s="1"/>
      <c r="H1" s="1"/>
      <c r="I1" s="1"/>
      <c r="J1" s="1"/>
      <c r="K1" s="1"/>
      <c r="L1" s="1"/>
      <c r="M1" s="1"/>
      <c r="N1" s="1"/>
      <c r="O1" s="1"/>
      <c r="P1" s="1"/>
      <c r="Q1" s="1"/>
      <c r="R1" s="1"/>
      <c r="S1" s="1"/>
      <c r="T1" s="1"/>
      <c r="U1" s="1"/>
      <c r="V1" s="1"/>
      <c r="W1" s="1"/>
      <c r="X1" s="1"/>
      <c r="Y1" s="1"/>
      <c r="Z1" s="1"/>
    </row>
    <row r="2">
      <c r="A2" s="1" t="s">
        <v>0</v>
      </c>
      <c r="B2" s="14" t="s">
        <v>1578</v>
      </c>
      <c r="C2" s="44" t="b">
        <v>1</v>
      </c>
      <c r="E2" s="44"/>
      <c r="F2" s="94"/>
      <c r="G2" s="94"/>
      <c r="H2" s="94"/>
      <c r="I2" s="94"/>
      <c r="J2" s="94"/>
      <c r="K2" s="94"/>
      <c r="L2" s="94"/>
      <c r="M2" s="94"/>
      <c r="N2" s="94"/>
      <c r="O2" s="94"/>
      <c r="P2" s="94"/>
      <c r="Q2" s="94"/>
      <c r="R2" s="94"/>
      <c r="S2" s="94"/>
      <c r="T2" s="94"/>
      <c r="U2" s="94"/>
      <c r="V2" s="94"/>
      <c r="W2" s="94"/>
      <c r="X2" s="94"/>
      <c r="Y2" s="94"/>
      <c r="Z2" s="94"/>
    </row>
    <row r="3">
      <c r="A3" s="1" t="s">
        <v>2</v>
      </c>
      <c r="B3" s="14" t="s">
        <v>1578</v>
      </c>
      <c r="C3" s="44" t="b">
        <v>1</v>
      </c>
      <c r="E3" s="44"/>
      <c r="F3" s="94"/>
      <c r="G3" s="94"/>
      <c r="H3" s="94"/>
      <c r="I3" s="94"/>
      <c r="J3" s="94"/>
      <c r="K3" s="94"/>
      <c r="L3" s="94"/>
      <c r="M3" s="94"/>
      <c r="N3" s="94"/>
      <c r="O3" s="94"/>
      <c r="P3" s="94"/>
      <c r="Q3" s="94"/>
      <c r="R3" s="94"/>
      <c r="S3" s="94"/>
      <c r="T3" s="94"/>
      <c r="U3" s="94"/>
      <c r="V3" s="94"/>
      <c r="W3" s="94"/>
      <c r="X3" s="94"/>
      <c r="Y3" s="94"/>
      <c r="Z3" s="94"/>
    </row>
    <row r="4">
      <c r="A4" s="1" t="s">
        <v>1579</v>
      </c>
      <c r="B4" s="14" t="s">
        <v>1578</v>
      </c>
      <c r="C4" s="44" t="b">
        <v>0</v>
      </c>
      <c r="E4" s="44"/>
      <c r="F4" s="94"/>
      <c r="G4" s="94"/>
      <c r="H4" s="94"/>
      <c r="I4" s="94"/>
      <c r="J4" s="94"/>
      <c r="K4" s="94"/>
      <c r="L4" s="94"/>
      <c r="M4" s="94"/>
      <c r="N4" s="94"/>
      <c r="O4" s="94"/>
      <c r="P4" s="94"/>
      <c r="Q4" s="94"/>
      <c r="R4" s="94"/>
      <c r="S4" s="94"/>
      <c r="T4" s="94"/>
      <c r="U4" s="94"/>
      <c r="V4" s="94"/>
      <c r="W4" s="94"/>
      <c r="X4" s="94"/>
      <c r="Y4" s="94"/>
      <c r="Z4" s="94"/>
    </row>
    <row r="5">
      <c r="A5" s="1" t="s">
        <v>10</v>
      </c>
      <c r="B5" s="14" t="s">
        <v>1578</v>
      </c>
      <c r="C5" s="44" t="b">
        <v>1</v>
      </c>
      <c r="E5" s="44"/>
      <c r="F5" s="94"/>
      <c r="G5" s="94"/>
      <c r="H5" s="94"/>
      <c r="I5" s="94"/>
      <c r="J5" s="94"/>
      <c r="K5" s="94"/>
      <c r="L5" s="94"/>
      <c r="M5" s="94"/>
      <c r="N5" s="94"/>
      <c r="O5" s="94"/>
      <c r="P5" s="94"/>
      <c r="Q5" s="94"/>
      <c r="R5" s="94"/>
      <c r="S5" s="94"/>
      <c r="T5" s="94"/>
      <c r="U5" s="94"/>
      <c r="V5" s="94"/>
      <c r="W5" s="94"/>
      <c r="X5" s="94"/>
      <c r="Y5" s="94"/>
      <c r="Z5" s="94"/>
    </row>
    <row r="6">
      <c r="A6" s="1" t="s">
        <v>1580</v>
      </c>
      <c r="B6" s="14" t="s">
        <v>1578</v>
      </c>
      <c r="C6" s="44" t="b">
        <v>0</v>
      </c>
      <c r="E6" s="44"/>
      <c r="F6" s="94"/>
      <c r="G6" s="94"/>
      <c r="H6" s="94"/>
      <c r="I6" s="94"/>
      <c r="J6" s="94"/>
      <c r="K6" s="94"/>
      <c r="L6" s="94"/>
      <c r="M6" s="94"/>
      <c r="N6" s="94"/>
      <c r="O6" s="94"/>
      <c r="P6" s="94"/>
      <c r="Q6" s="94"/>
      <c r="R6" s="94"/>
      <c r="S6" s="94"/>
      <c r="T6" s="94"/>
      <c r="U6" s="94"/>
      <c r="V6" s="94"/>
      <c r="W6" s="94"/>
      <c r="X6" s="94"/>
      <c r="Y6" s="94"/>
      <c r="Z6" s="94"/>
    </row>
    <row r="7">
      <c r="A7" s="1" t="s">
        <v>8</v>
      </c>
      <c r="B7" s="14" t="s">
        <v>1578</v>
      </c>
      <c r="C7" s="44" t="b">
        <v>0</v>
      </c>
      <c r="E7" s="44"/>
      <c r="F7" s="94"/>
      <c r="G7" s="94"/>
      <c r="H7" s="94"/>
      <c r="I7" s="94"/>
      <c r="J7" s="94"/>
      <c r="K7" s="94"/>
      <c r="L7" s="94"/>
      <c r="M7" s="94"/>
      <c r="N7" s="94"/>
      <c r="O7" s="94"/>
      <c r="P7" s="94"/>
      <c r="Q7" s="94"/>
      <c r="R7" s="94"/>
      <c r="S7" s="94"/>
      <c r="T7" s="94"/>
      <c r="U7" s="94"/>
      <c r="V7" s="94"/>
      <c r="W7" s="94"/>
      <c r="X7" s="94"/>
      <c r="Y7" s="94"/>
      <c r="Z7" s="94"/>
    </row>
    <row r="8">
      <c r="A8" s="1" t="s">
        <v>13</v>
      </c>
      <c r="B8" s="14" t="s">
        <v>1578</v>
      </c>
      <c r="C8" s="44" t="b">
        <v>1</v>
      </c>
      <c r="E8" s="44"/>
      <c r="F8" s="94"/>
      <c r="G8" s="94"/>
      <c r="H8" s="94"/>
      <c r="I8" s="94"/>
      <c r="J8" s="94"/>
      <c r="K8" s="94"/>
      <c r="L8" s="94"/>
      <c r="M8" s="94"/>
      <c r="N8" s="94"/>
      <c r="O8" s="94"/>
      <c r="P8" s="94"/>
      <c r="Q8" s="94"/>
      <c r="R8" s="94"/>
      <c r="S8" s="94"/>
      <c r="T8" s="94"/>
      <c r="U8" s="94"/>
      <c r="V8" s="94"/>
      <c r="W8" s="94"/>
      <c r="X8" s="94"/>
      <c r="Y8" s="94"/>
      <c r="Z8" s="94"/>
    </row>
    <row r="9">
      <c r="A9" s="1" t="s">
        <v>9</v>
      </c>
      <c r="B9" s="14" t="s">
        <v>1578</v>
      </c>
      <c r="C9" s="44" t="b">
        <v>1</v>
      </c>
      <c r="E9" s="44"/>
      <c r="F9" s="94"/>
      <c r="G9" s="94"/>
      <c r="H9" s="94"/>
      <c r="I9" s="94"/>
      <c r="J9" s="94"/>
      <c r="K9" s="94"/>
      <c r="L9" s="94"/>
      <c r="M9" s="94"/>
      <c r="N9" s="94"/>
      <c r="O9" s="94"/>
      <c r="P9" s="94"/>
      <c r="Q9" s="94"/>
      <c r="R9" s="94"/>
      <c r="S9" s="94"/>
      <c r="T9" s="94"/>
      <c r="U9" s="94"/>
      <c r="V9" s="94"/>
      <c r="W9" s="94"/>
      <c r="X9" s="94"/>
      <c r="Y9" s="94"/>
      <c r="Z9" s="94"/>
    </row>
    <row r="10">
      <c r="A10" s="1" t="s">
        <v>1</v>
      </c>
      <c r="B10" s="14" t="s">
        <v>1578</v>
      </c>
      <c r="C10" s="44" t="b">
        <v>1</v>
      </c>
      <c r="E10" s="44"/>
      <c r="F10" s="94"/>
      <c r="G10" s="94"/>
      <c r="H10" s="94"/>
      <c r="I10" s="94"/>
      <c r="J10" s="94"/>
      <c r="K10" s="94"/>
      <c r="L10" s="94"/>
      <c r="M10" s="94"/>
      <c r="N10" s="94"/>
      <c r="O10" s="94"/>
      <c r="P10" s="94"/>
      <c r="Q10" s="94"/>
      <c r="R10" s="94"/>
      <c r="S10" s="94"/>
      <c r="T10" s="94"/>
      <c r="U10" s="94"/>
      <c r="V10" s="94"/>
      <c r="W10" s="94"/>
      <c r="X10" s="94"/>
      <c r="Y10" s="94"/>
      <c r="Z10" s="94"/>
    </row>
    <row r="11">
      <c r="A11" s="1" t="s">
        <v>3</v>
      </c>
      <c r="B11" s="14" t="s">
        <v>1578</v>
      </c>
      <c r="C11" s="44" t="b">
        <v>1</v>
      </c>
      <c r="E11" s="44"/>
      <c r="F11" s="94"/>
      <c r="G11" s="94"/>
      <c r="H11" s="94"/>
      <c r="I11" s="94"/>
      <c r="J11" s="94"/>
      <c r="K11" s="94"/>
      <c r="L11" s="94"/>
      <c r="M11" s="94"/>
      <c r="N11" s="94"/>
      <c r="O11" s="94"/>
      <c r="P11" s="94"/>
      <c r="Q11" s="94"/>
      <c r="R11" s="94"/>
      <c r="S11" s="94"/>
      <c r="T11" s="94"/>
      <c r="U11" s="94"/>
      <c r="V11" s="94"/>
      <c r="W11" s="94"/>
      <c r="X11" s="94"/>
      <c r="Y11" s="94"/>
      <c r="Z11" s="94"/>
    </row>
    <row r="12">
      <c r="A12" s="1" t="s">
        <v>4</v>
      </c>
      <c r="B12" s="14" t="s">
        <v>1578</v>
      </c>
      <c r="C12" s="44" t="b">
        <v>1</v>
      </c>
      <c r="E12" s="44"/>
      <c r="F12" s="94"/>
      <c r="G12" s="94"/>
      <c r="H12" s="94"/>
      <c r="I12" s="94"/>
      <c r="J12" s="94"/>
      <c r="K12" s="94"/>
      <c r="L12" s="94"/>
      <c r="M12" s="94"/>
      <c r="N12" s="94"/>
      <c r="O12" s="94"/>
      <c r="P12" s="94"/>
      <c r="Q12" s="94"/>
      <c r="R12" s="94"/>
      <c r="S12" s="94"/>
      <c r="T12" s="94"/>
      <c r="U12" s="94"/>
      <c r="V12" s="94"/>
      <c r="W12" s="94"/>
      <c r="X12" s="94"/>
      <c r="Y12" s="94"/>
      <c r="Z12" s="94"/>
    </row>
    <row r="13">
      <c r="A13" s="1" t="s">
        <v>5</v>
      </c>
      <c r="B13" s="14" t="s">
        <v>1578</v>
      </c>
      <c r="C13" s="44" t="b">
        <v>0</v>
      </c>
      <c r="E13" s="44"/>
      <c r="F13" s="94"/>
      <c r="G13" s="94"/>
      <c r="H13" s="94"/>
      <c r="I13" s="94"/>
      <c r="J13" s="94"/>
      <c r="K13" s="94"/>
      <c r="L13" s="94"/>
      <c r="M13" s="94"/>
      <c r="N13" s="94"/>
      <c r="O13" s="94"/>
      <c r="P13" s="94"/>
      <c r="Q13" s="94"/>
      <c r="R13" s="94"/>
      <c r="S13" s="94"/>
      <c r="T13" s="94"/>
      <c r="U13" s="94"/>
      <c r="V13" s="94"/>
      <c r="W13" s="94"/>
      <c r="X13" s="94"/>
      <c r="Y13" s="94"/>
      <c r="Z13" s="94"/>
    </row>
    <row r="14">
      <c r="A14" s="1" t="s">
        <v>6</v>
      </c>
      <c r="B14" s="14" t="s">
        <v>1578</v>
      </c>
      <c r="C14" s="44" t="b">
        <v>1</v>
      </c>
      <c r="E14" s="44"/>
      <c r="F14" s="94"/>
      <c r="G14" s="94"/>
      <c r="H14" s="94"/>
      <c r="I14" s="94"/>
      <c r="J14" s="94"/>
      <c r="K14" s="94"/>
      <c r="L14" s="94"/>
      <c r="M14" s="94"/>
      <c r="N14" s="94"/>
      <c r="O14" s="94"/>
      <c r="P14" s="94"/>
      <c r="Q14" s="94"/>
      <c r="R14" s="94"/>
      <c r="S14" s="94"/>
      <c r="T14" s="94"/>
      <c r="U14" s="94"/>
      <c r="V14" s="94"/>
      <c r="W14" s="94"/>
      <c r="X14" s="94"/>
      <c r="Y14" s="94"/>
      <c r="Z14" s="94"/>
    </row>
    <row r="15">
      <c r="A15" s="1" t="s">
        <v>7</v>
      </c>
      <c r="B15" s="14" t="s">
        <v>1578</v>
      </c>
      <c r="C15" s="44" t="b">
        <v>0</v>
      </c>
      <c r="E15" s="44"/>
      <c r="F15" s="94"/>
      <c r="G15" s="94"/>
      <c r="H15" s="94"/>
      <c r="I15" s="94"/>
      <c r="J15" s="94"/>
      <c r="K15" s="94"/>
      <c r="L15" s="94"/>
      <c r="M15" s="94"/>
      <c r="N15" s="94"/>
      <c r="O15" s="94"/>
      <c r="P15" s="94"/>
      <c r="Q15" s="94"/>
      <c r="R15" s="94"/>
      <c r="S15" s="94"/>
      <c r="T15" s="94"/>
      <c r="U15" s="94"/>
      <c r="V15" s="94"/>
      <c r="W15" s="94"/>
      <c r="X15" s="94"/>
      <c r="Y15" s="94"/>
      <c r="Z15" s="94"/>
    </row>
    <row r="16">
      <c r="A16" s="1" t="s">
        <v>11</v>
      </c>
      <c r="B16" s="14" t="s">
        <v>1578</v>
      </c>
      <c r="C16" s="44" t="b">
        <v>0</v>
      </c>
      <c r="E16" s="44"/>
      <c r="F16" s="94"/>
      <c r="G16" s="94"/>
      <c r="H16" s="94"/>
      <c r="I16" s="94"/>
      <c r="J16" s="94"/>
      <c r="K16" s="94"/>
      <c r="L16" s="94"/>
      <c r="M16" s="94"/>
      <c r="N16" s="94"/>
      <c r="O16" s="94"/>
      <c r="P16" s="94"/>
      <c r="Q16" s="94"/>
      <c r="R16" s="94"/>
      <c r="S16" s="94"/>
      <c r="T16" s="94"/>
      <c r="U16" s="94"/>
      <c r="V16" s="94"/>
      <c r="W16" s="94"/>
      <c r="X16" s="94"/>
      <c r="Y16" s="94"/>
      <c r="Z16" s="94"/>
    </row>
    <row r="17">
      <c r="A17" s="1" t="s">
        <v>12</v>
      </c>
      <c r="B17" s="14" t="s">
        <v>1578</v>
      </c>
      <c r="C17" s="44" t="b">
        <v>0</v>
      </c>
      <c r="E17" s="44"/>
      <c r="F17" s="94"/>
      <c r="G17" s="94"/>
      <c r="H17" s="94"/>
      <c r="I17" s="94"/>
      <c r="J17" s="94"/>
      <c r="K17" s="94"/>
      <c r="L17" s="94"/>
      <c r="M17" s="94"/>
      <c r="N17" s="94"/>
      <c r="O17" s="94"/>
      <c r="P17" s="94"/>
      <c r="Q17" s="94"/>
      <c r="R17" s="94"/>
      <c r="S17" s="94"/>
      <c r="T17" s="94"/>
      <c r="U17" s="94"/>
      <c r="V17" s="94"/>
      <c r="W17" s="94"/>
      <c r="X17" s="94"/>
      <c r="Y17" s="94"/>
      <c r="Z17" s="94"/>
    </row>
    <row r="18">
      <c r="A18" s="1"/>
      <c r="C18" s="44"/>
      <c r="E18" s="44"/>
      <c r="F18" s="94"/>
      <c r="G18" s="94"/>
      <c r="H18" s="94"/>
      <c r="I18" s="94"/>
      <c r="J18" s="94"/>
      <c r="K18" s="94"/>
      <c r="L18" s="94"/>
      <c r="M18" s="94"/>
      <c r="N18" s="94"/>
      <c r="O18" s="94"/>
      <c r="P18" s="94"/>
      <c r="Q18" s="94"/>
      <c r="R18" s="94"/>
      <c r="S18" s="94"/>
      <c r="T18" s="94"/>
      <c r="U18" s="94"/>
      <c r="V18" s="94"/>
      <c r="W18" s="94"/>
      <c r="X18" s="94"/>
      <c r="Y18" s="94"/>
      <c r="Z18" s="94"/>
    </row>
    <row r="19">
      <c r="A19" s="1"/>
      <c r="C19" s="44"/>
      <c r="E19" s="44"/>
      <c r="F19" s="94"/>
      <c r="G19" s="94"/>
      <c r="H19" s="94"/>
      <c r="I19" s="94"/>
      <c r="J19" s="94"/>
      <c r="K19" s="94"/>
      <c r="L19" s="94"/>
      <c r="M19" s="94"/>
      <c r="N19" s="94"/>
      <c r="O19" s="94"/>
      <c r="P19" s="94"/>
      <c r="Q19" s="94"/>
      <c r="R19" s="94"/>
      <c r="S19" s="94"/>
      <c r="T19" s="94"/>
      <c r="U19" s="94"/>
      <c r="V19" s="94"/>
      <c r="W19" s="94"/>
      <c r="X19" s="94"/>
      <c r="Y19" s="94"/>
      <c r="Z19" s="94"/>
    </row>
    <row r="20">
      <c r="A20" s="1"/>
      <c r="C20" s="44"/>
      <c r="E20" s="44"/>
      <c r="F20" s="94"/>
      <c r="G20" s="94"/>
      <c r="H20" s="94"/>
      <c r="I20" s="94"/>
      <c r="J20" s="94"/>
      <c r="K20" s="94"/>
      <c r="L20" s="94"/>
      <c r="M20" s="94"/>
      <c r="N20" s="94"/>
      <c r="O20" s="94"/>
      <c r="P20" s="94"/>
      <c r="Q20" s="94"/>
      <c r="R20" s="94"/>
      <c r="S20" s="94"/>
      <c r="T20" s="94"/>
      <c r="U20" s="94"/>
      <c r="V20" s="94"/>
      <c r="W20" s="94"/>
      <c r="X20" s="94"/>
      <c r="Y20" s="94"/>
      <c r="Z20" s="94"/>
    </row>
    <row r="21">
      <c r="A21" s="1"/>
      <c r="C21" s="44"/>
      <c r="E21" s="44"/>
      <c r="F21" s="94"/>
      <c r="G21" s="94"/>
      <c r="H21" s="94"/>
      <c r="I21" s="94"/>
      <c r="J21" s="94"/>
      <c r="K21" s="94"/>
      <c r="L21" s="94"/>
      <c r="M21" s="94"/>
      <c r="N21" s="94"/>
      <c r="O21" s="94"/>
      <c r="P21" s="94"/>
      <c r="Q21" s="94"/>
      <c r="R21" s="94"/>
      <c r="S21" s="94"/>
      <c r="T21" s="94"/>
      <c r="U21" s="94"/>
      <c r="V21" s="94"/>
      <c r="W21" s="94"/>
      <c r="X21" s="94"/>
      <c r="Y21" s="94"/>
      <c r="Z21" s="94"/>
    </row>
    <row r="22">
      <c r="A22" s="1"/>
      <c r="C22" s="44"/>
      <c r="E22" s="44"/>
      <c r="F22" s="94"/>
      <c r="G22" s="94"/>
      <c r="H22" s="94"/>
      <c r="I22" s="94"/>
      <c r="J22" s="94"/>
      <c r="K22" s="94"/>
      <c r="L22" s="94"/>
      <c r="M22" s="94"/>
      <c r="N22" s="94"/>
      <c r="O22" s="94"/>
      <c r="P22" s="94"/>
      <c r="Q22" s="94"/>
      <c r="R22" s="94"/>
      <c r="S22" s="94"/>
      <c r="T22" s="94"/>
      <c r="U22" s="94"/>
      <c r="V22" s="94"/>
      <c r="W22" s="94"/>
      <c r="X22" s="94"/>
      <c r="Y22" s="94"/>
      <c r="Z22" s="94"/>
    </row>
    <row r="23">
      <c r="A23" s="1"/>
      <c r="C23" s="44"/>
      <c r="E23" s="44"/>
      <c r="F23" s="94"/>
      <c r="G23" s="94"/>
      <c r="H23" s="94"/>
      <c r="I23" s="94"/>
      <c r="J23" s="94"/>
      <c r="K23" s="94"/>
      <c r="L23" s="94"/>
      <c r="M23" s="94"/>
      <c r="N23" s="94"/>
      <c r="O23" s="94"/>
      <c r="P23" s="94"/>
      <c r="Q23" s="94"/>
      <c r="R23" s="94"/>
      <c r="S23" s="94"/>
      <c r="T23" s="94"/>
      <c r="U23" s="94"/>
      <c r="V23" s="94"/>
      <c r="W23" s="94"/>
      <c r="X23" s="94"/>
      <c r="Y23" s="94"/>
      <c r="Z23" s="94"/>
    </row>
    <row r="24">
      <c r="A24" s="1"/>
      <c r="C24" s="44"/>
      <c r="E24" s="44"/>
      <c r="F24" s="94"/>
      <c r="G24" s="94"/>
      <c r="H24" s="94"/>
      <c r="I24" s="94"/>
      <c r="J24" s="94"/>
      <c r="K24" s="94"/>
      <c r="L24" s="94"/>
      <c r="M24" s="94"/>
      <c r="N24" s="94"/>
      <c r="O24" s="94"/>
      <c r="P24" s="94"/>
      <c r="Q24" s="94"/>
      <c r="R24" s="94"/>
      <c r="S24" s="94"/>
      <c r="T24" s="94"/>
      <c r="U24" s="94"/>
      <c r="V24" s="94"/>
      <c r="W24" s="94"/>
      <c r="X24" s="94"/>
      <c r="Y24" s="94"/>
      <c r="Z24" s="94"/>
    </row>
    <row r="25">
      <c r="A25" s="1"/>
      <c r="C25" s="44"/>
      <c r="E25" s="44"/>
      <c r="F25" s="94"/>
      <c r="G25" s="94"/>
      <c r="H25" s="94"/>
      <c r="I25" s="94"/>
      <c r="J25" s="94"/>
      <c r="K25" s="94"/>
      <c r="L25" s="94"/>
      <c r="M25" s="94"/>
      <c r="N25" s="94"/>
      <c r="O25" s="94"/>
      <c r="P25" s="94"/>
      <c r="Q25" s="94"/>
      <c r="R25" s="94"/>
      <c r="S25" s="94"/>
      <c r="T25" s="94"/>
      <c r="U25" s="94"/>
      <c r="V25" s="94"/>
      <c r="W25" s="94"/>
      <c r="X25" s="94"/>
      <c r="Y25" s="94"/>
      <c r="Z25" s="94"/>
    </row>
    <row r="26">
      <c r="A26" s="1"/>
      <c r="C26" s="44"/>
      <c r="E26" s="44"/>
      <c r="F26" s="94"/>
      <c r="G26" s="94"/>
      <c r="H26" s="94"/>
      <c r="I26" s="94"/>
      <c r="J26" s="94"/>
      <c r="K26" s="94"/>
      <c r="L26" s="94"/>
      <c r="M26" s="94"/>
      <c r="N26" s="94"/>
      <c r="O26" s="94"/>
      <c r="P26" s="94"/>
      <c r="Q26" s="94"/>
      <c r="R26" s="94"/>
      <c r="S26" s="94"/>
      <c r="T26" s="94"/>
      <c r="U26" s="94"/>
      <c r="V26" s="94"/>
      <c r="W26" s="94"/>
      <c r="X26" s="94"/>
      <c r="Y26" s="94"/>
      <c r="Z26" s="94"/>
    </row>
    <row r="27">
      <c r="A27" s="1"/>
      <c r="C27" s="44"/>
      <c r="E27" s="44"/>
      <c r="F27" s="94"/>
      <c r="G27" s="94"/>
      <c r="H27" s="94"/>
      <c r="I27" s="94"/>
      <c r="J27" s="94"/>
      <c r="K27" s="94"/>
      <c r="L27" s="94"/>
      <c r="M27" s="94"/>
      <c r="N27" s="94"/>
      <c r="O27" s="94"/>
      <c r="P27" s="94"/>
      <c r="Q27" s="94"/>
      <c r="R27" s="94"/>
      <c r="S27" s="94"/>
      <c r="T27" s="94"/>
      <c r="U27" s="94"/>
      <c r="V27" s="94"/>
      <c r="W27" s="94"/>
      <c r="X27" s="94"/>
      <c r="Y27" s="94"/>
      <c r="Z27" s="94"/>
    </row>
    <row r="28">
      <c r="A28" s="1"/>
      <c r="C28" s="44"/>
      <c r="E28" s="44"/>
      <c r="F28" s="94"/>
      <c r="G28" s="94"/>
      <c r="H28" s="94"/>
      <c r="I28" s="94"/>
      <c r="J28" s="94"/>
      <c r="K28" s="94"/>
      <c r="L28" s="94"/>
      <c r="M28" s="94"/>
      <c r="N28" s="94"/>
      <c r="O28" s="94"/>
      <c r="P28" s="94"/>
      <c r="Q28" s="94"/>
      <c r="R28" s="94"/>
      <c r="S28" s="94"/>
      <c r="T28" s="94"/>
      <c r="U28" s="94"/>
      <c r="V28" s="94"/>
      <c r="W28" s="94"/>
      <c r="X28" s="94"/>
      <c r="Y28" s="94"/>
      <c r="Z28" s="94"/>
    </row>
    <row r="29">
      <c r="A29" s="1"/>
      <c r="C29" s="44"/>
      <c r="E29" s="44"/>
      <c r="F29" s="94"/>
      <c r="G29" s="94"/>
      <c r="H29" s="94"/>
      <c r="I29" s="94"/>
      <c r="J29" s="94"/>
      <c r="K29" s="94"/>
      <c r="L29" s="94"/>
      <c r="M29" s="94"/>
      <c r="N29" s="94"/>
      <c r="O29" s="94"/>
      <c r="P29" s="94"/>
      <c r="Q29" s="94"/>
      <c r="R29" s="94"/>
      <c r="S29" s="94"/>
      <c r="T29" s="94"/>
      <c r="U29" s="94"/>
      <c r="V29" s="94"/>
      <c r="W29" s="94"/>
      <c r="X29" s="94"/>
      <c r="Y29" s="94"/>
      <c r="Z29" s="94"/>
    </row>
    <row r="30">
      <c r="A30" s="1"/>
      <c r="C30" s="44"/>
      <c r="E30" s="44"/>
      <c r="F30" s="94"/>
      <c r="G30" s="94"/>
      <c r="H30" s="94"/>
      <c r="I30" s="94"/>
      <c r="J30" s="94"/>
      <c r="K30" s="94"/>
      <c r="L30" s="94"/>
      <c r="M30" s="94"/>
      <c r="N30" s="94"/>
      <c r="O30" s="94"/>
      <c r="P30" s="94"/>
      <c r="Q30" s="94"/>
      <c r="R30" s="94"/>
      <c r="S30" s="94"/>
      <c r="T30" s="94"/>
      <c r="U30" s="94"/>
      <c r="V30" s="94"/>
      <c r="W30" s="94"/>
      <c r="X30" s="94"/>
      <c r="Y30" s="94"/>
      <c r="Z30" s="94"/>
    </row>
    <row r="31">
      <c r="A31" s="1"/>
      <c r="C31" s="44"/>
      <c r="E31" s="44"/>
      <c r="F31" s="94"/>
      <c r="G31" s="94"/>
      <c r="H31" s="94"/>
      <c r="I31" s="94"/>
      <c r="J31" s="94"/>
      <c r="K31" s="94"/>
      <c r="L31" s="94"/>
      <c r="M31" s="94"/>
      <c r="N31" s="94"/>
      <c r="O31" s="94"/>
      <c r="P31" s="94"/>
      <c r="Q31" s="94"/>
      <c r="R31" s="94"/>
      <c r="S31" s="94"/>
      <c r="T31" s="94"/>
      <c r="U31" s="94"/>
      <c r="V31" s="94"/>
      <c r="W31" s="94"/>
      <c r="X31" s="94"/>
      <c r="Y31" s="94"/>
      <c r="Z31" s="94"/>
    </row>
    <row r="32">
      <c r="A32" s="1"/>
      <c r="C32" s="44"/>
      <c r="E32" s="44"/>
      <c r="F32" s="94"/>
      <c r="G32" s="94"/>
      <c r="H32" s="94"/>
      <c r="I32" s="94"/>
      <c r="J32" s="94"/>
      <c r="K32" s="94"/>
      <c r="L32" s="94"/>
      <c r="M32" s="94"/>
      <c r="N32" s="94"/>
      <c r="O32" s="94"/>
      <c r="P32" s="94"/>
      <c r="Q32" s="94"/>
      <c r="R32" s="94"/>
      <c r="S32" s="94"/>
      <c r="T32" s="94"/>
      <c r="U32" s="94"/>
      <c r="V32" s="94"/>
      <c r="W32" s="94"/>
      <c r="X32" s="94"/>
      <c r="Y32" s="94"/>
      <c r="Z32" s="94"/>
    </row>
    <row r="33">
      <c r="A33" s="1"/>
      <c r="C33" s="44"/>
      <c r="E33" s="44"/>
      <c r="F33" s="94"/>
      <c r="G33" s="94"/>
      <c r="H33" s="94"/>
      <c r="I33" s="94"/>
      <c r="J33" s="94"/>
      <c r="K33" s="94"/>
      <c r="L33" s="94"/>
      <c r="M33" s="94"/>
      <c r="N33" s="94"/>
      <c r="O33" s="94"/>
      <c r="P33" s="94"/>
      <c r="Q33" s="94"/>
      <c r="R33" s="94"/>
      <c r="S33" s="94"/>
      <c r="T33" s="94"/>
      <c r="U33" s="94"/>
      <c r="V33" s="94"/>
      <c r="W33" s="94"/>
      <c r="X33" s="94"/>
      <c r="Y33" s="94"/>
      <c r="Z33" s="94"/>
    </row>
    <row r="34">
      <c r="A34" s="1"/>
      <c r="C34" s="44"/>
      <c r="E34" s="44"/>
      <c r="F34" s="94"/>
      <c r="G34" s="94"/>
      <c r="H34" s="94"/>
      <c r="I34" s="94"/>
      <c r="J34" s="94"/>
      <c r="K34" s="94"/>
      <c r="L34" s="94"/>
      <c r="M34" s="94"/>
      <c r="N34" s="94"/>
      <c r="O34" s="94"/>
      <c r="P34" s="94"/>
      <c r="Q34" s="94"/>
      <c r="R34" s="94"/>
      <c r="S34" s="94"/>
      <c r="T34" s="94"/>
      <c r="U34" s="94"/>
      <c r="V34" s="94"/>
      <c r="W34" s="94"/>
      <c r="X34" s="94"/>
      <c r="Y34" s="94"/>
      <c r="Z34" s="94"/>
    </row>
    <row r="35">
      <c r="A35" s="1"/>
      <c r="C35" s="44"/>
      <c r="E35" s="44"/>
      <c r="F35" s="94"/>
      <c r="G35" s="94"/>
      <c r="H35" s="94"/>
      <c r="I35" s="94"/>
      <c r="J35" s="94"/>
      <c r="K35" s="94"/>
      <c r="L35" s="94"/>
      <c r="M35" s="94"/>
      <c r="N35" s="94"/>
      <c r="O35" s="94"/>
      <c r="P35" s="94"/>
      <c r="Q35" s="94"/>
      <c r="R35" s="94"/>
      <c r="S35" s="94"/>
      <c r="T35" s="94"/>
      <c r="U35" s="94"/>
      <c r="V35" s="94"/>
      <c r="W35" s="94"/>
      <c r="X35" s="94"/>
      <c r="Y35" s="94"/>
      <c r="Z35" s="94"/>
    </row>
    <row r="36">
      <c r="A36" s="1"/>
      <c r="C36" s="44"/>
      <c r="E36" s="44"/>
      <c r="F36" s="94"/>
      <c r="G36" s="94"/>
      <c r="H36" s="94"/>
      <c r="I36" s="94"/>
      <c r="J36" s="94"/>
      <c r="K36" s="94"/>
      <c r="L36" s="94"/>
      <c r="M36" s="94"/>
      <c r="N36" s="94"/>
      <c r="O36" s="94"/>
      <c r="P36" s="94"/>
      <c r="Q36" s="94"/>
      <c r="R36" s="94"/>
      <c r="S36" s="94"/>
      <c r="T36" s="94"/>
      <c r="U36" s="94"/>
      <c r="V36" s="94"/>
      <c r="W36" s="94"/>
      <c r="X36" s="94"/>
      <c r="Y36" s="94"/>
      <c r="Z36" s="94"/>
    </row>
    <row r="37">
      <c r="A37" s="1"/>
      <c r="C37" s="44"/>
      <c r="E37" s="44"/>
      <c r="F37" s="94"/>
      <c r="G37" s="94"/>
      <c r="H37" s="94"/>
      <c r="I37" s="94"/>
      <c r="J37" s="94"/>
      <c r="K37" s="94"/>
      <c r="L37" s="94"/>
      <c r="M37" s="94"/>
      <c r="N37" s="94"/>
      <c r="O37" s="94"/>
      <c r="P37" s="94"/>
      <c r="Q37" s="94"/>
      <c r="R37" s="94"/>
      <c r="S37" s="94"/>
      <c r="T37" s="94"/>
      <c r="U37" s="94"/>
      <c r="V37" s="94"/>
      <c r="W37" s="94"/>
      <c r="X37" s="94"/>
      <c r="Y37" s="94"/>
      <c r="Z37" s="94"/>
    </row>
    <row r="38">
      <c r="A38" s="1"/>
      <c r="C38" s="44"/>
      <c r="E38" s="44"/>
      <c r="F38" s="94"/>
      <c r="G38" s="94"/>
      <c r="H38" s="94"/>
      <c r="I38" s="94"/>
      <c r="J38" s="94"/>
      <c r="K38" s="94"/>
      <c r="L38" s="94"/>
      <c r="M38" s="94"/>
      <c r="N38" s="94"/>
      <c r="O38" s="94"/>
      <c r="P38" s="94"/>
      <c r="Q38" s="94"/>
      <c r="R38" s="94"/>
      <c r="S38" s="94"/>
      <c r="T38" s="94"/>
      <c r="U38" s="94"/>
      <c r="V38" s="94"/>
      <c r="W38" s="94"/>
      <c r="X38" s="94"/>
      <c r="Y38" s="94"/>
      <c r="Z38" s="94"/>
    </row>
    <row r="39">
      <c r="A39" s="1"/>
      <c r="C39" s="44"/>
      <c r="E39" s="44"/>
      <c r="F39" s="94"/>
      <c r="G39" s="94"/>
      <c r="H39" s="94"/>
      <c r="I39" s="94"/>
      <c r="J39" s="94"/>
      <c r="K39" s="94"/>
      <c r="L39" s="94"/>
      <c r="M39" s="94"/>
      <c r="N39" s="94"/>
      <c r="O39" s="94"/>
      <c r="P39" s="94"/>
      <c r="Q39" s="94"/>
      <c r="R39" s="94"/>
      <c r="S39" s="94"/>
      <c r="T39" s="94"/>
      <c r="U39" s="94"/>
      <c r="V39" s="94"/>
      <c r="W39" s="94"/>
      <c r="X39" s="94"/>
      <c r="Y39" s="94"/>
      <c r="Z39" s="94"/>
    </row>
    <row r="40">
      <c r="A40" s="1"/>
      <c r="C40" s="44"/>
      <c r="E40" s="44"/>
      <c r="F40" s="94"/>
      <c r="G40" s="94"/>
      <c r="H40" s="94"/>
      <c r="I40" s="94"/>
      <c r="J40" s="94"/>
      <c r="K40" s="94"/>
      <c r="L40" s="94"/>
      <c r="M40" s="94"/>
      <c r="N40" s="94"/>
      <c r="O40" s="94"/>
      <c r="P40" s="94"/>
      <c r="Q40" s="94"/>
      <c r="R40" s="94"/>
      <c r="S40" s="94"/>
      <c r="T40" s="94"/>
      <c r="U40" s="94"/>
      <c r="V40" s="94"/>
      <c r="W40" s="94"/>
      <c r="X40" s="94"/>
      <c r="Y40" s="94"/>
      <c r="Z40" s="94"/>
    </row>
    <row r="41">
      <c r="A41" s="1"/>
      <c r="C41" s="44"/>
      <c r="E41" s="44"/>
      <c r="F41" s="94"/>
      <c r="G41" s="94"/>
      <c r="H41" s="94"/>
      <c r="I41" s="94"/>
      <c r="J41" s="94"/>
      <c r="K41" s="94"/>
      <c r="L41" s="94"/>
      <c r="M41" s="94"/>
      <c r="N41" s="94"/>
      <c r="O41" s="94"/>
      <c r="P41" s="94"/>
      <c r="Q41" s="94"/>
      <c r="R41" s="94"/>
      <c r="S41" s="94"/>
      <c r="T41" s="94"/>
      <c r="U41" s="94"/>
      <c r="V41" s="94"/>
      <c r="W41" s="94"/>
      <c r="X41" s="94"/>
      <c r="Y41" s="94"/>
      <c r="Z41" s="94"/>
    </row>
    <row r="42">
      <c r="A42" s="1"/>
      <c r="C42" s="44"/>
      <c r="E42" s="44"/>
      <c r="F42" s="94"/>
      <c r="G42" s="94"/>
      <c r="H42" s="94"/>
      <c r="I42" s="94"/>
      <c r="J42" s="94"/>
      <c r="K42" s="94"/>
      <c r="L42" s="94"/>
      <c r="M42" s="94"/>
      <c r="N42" s="94"/>
      <c r="O42" s="94"/>
      <c r="P42" s="94"/>
      <c r="Q42" s="94"/>
      <c r="R42" s="94"/>
      <c r="S42" s="94"/>
      <c r="T42" s="94"/>
      <c r="U42" s="94"/>
      <c r="V42" s="94"/>
      <c r="W42" s="94"/>
      <c r="X42" s="94"/>
      <c r="Y42" s="94"/>
      <c r="Z42" s="94"/>
    </row>
    <row r="43">
      <c r="A43" s="1"/>
      <c r="C43" s="44"/>
      <c r="E43" s="44"/>
      <c r="F43" s="94"/>
      <c r="G43" s="94"/>
      <c r="H43" s="94"/>
      <c r="I43" s="94"/>
      <c r="J43" s="94"/>
      <c r="K43" s="94"/>
      <c r="L43" s="94"/>
      <c r="M43" s="94"/>
      <c r="N43" s="94"/>
      <c r="O43" s="94"/>
      <c r="P43" s="94"/>
      <c r="Q43" s="94"/>
      <c r="R43" s="94"/>
      <c r="S43" s="94"/>
      <c r="T43" s="94"/>
      <c r="U43" s="94"/>
      <c r="V43" s="94"/>
      <c r="W43" s="94"/>
      <c r="X43" s="94"/>
      <c r="Y43" s="94"/>
      <c r="Z43" s="94"/>
    </row>
    <row r="44">
      <c r="A44" s="1"/>
      <c r="C44" s="44"/>
      <c r="E44" s="44"/>
      <c r="F44" s="94"/>
      <c r="G44" s="94"/>
      <c r="H44" s="94"/>
      <c r="I44" s="94"/>
      <c r="J44" s="94"/>
      <c r="K44" s="94"/>
      <c r="L44" s="94"/>
      <c r="M44" s="94"/>
      <c r="N44" s="94"/>
      <c r="O44" s="94"/>
      <c r="P44" s="94"/>
      <c r="Q44" s="94"/>
      <c r="R44" s="94"/>
      <c r="S44" s="94"/>
      <c r="T44" s="94"/>
      <c r="U44" s="94"/>
      <c r="V44" s="94"/>
      <c r="W44" s="94"/>
      <c r="X44" s="94"/>
      <c r="Y44" s="94"/>
      <c r="Z44" s="94"/>
    </row>
    <row r="45">
      <c r="A45" s="1"/>
      <c r="C45" s="44"/>
      <c r="E45" s="44"/>
      <c r="F45" s="94"/>
      <c r="G45" s="94"/>
      <c r="H45" s="94"/>
      <c r="I45" s="94"/>
      <c r="J45" s="94"/>
      <c r="K45" s="94"/>
      <c r="L45" s="94"/>
      <c r="M45" s="94"/>
      <c r="N45" s="94"/>
      <c r="O45" s="94"/>
      <c r="P45" s="94"/>
      <c r="Q45" s="94"/>
      <c r="R45" s="94"/>
      <c r="S45" s="94"/>
      <c r="T45" s="94"/>
      <c r="U45" s="94"/>
      <c r="V45" s="94"/>
      <c r="W45" s="94"/>
      <c r="X45" s="94"/>
      <c r="Y45" s="94"/>
      <c r="Z45" s="94"/>
    </row>
    <row r="46">
      <c r="A46" s="1"/>
      <c r="C46" s="44"/>
      <c r="E46" s="44"/>
      <c r="F46" s="94"/>
      <c r="G46" s="94"/>
      <c r="H46" s="94"/>
      <c r="I46" s="94"/>
      <c r="J46" s="94"/>
      <c r="K46" s="94"/>
      <c r="L46" s="94"/>
      <c r="M46" s="94"/>
      <c r="N46" s="94"/>
      <c r="O46" s="94"/>
      <c r="P46" s="94"/>
      <c r="Q46" s="94"/>
      <c r="R46" s="94"/>
      <c r="S46" s="94"/>
      <c r="T46" s="94"/>
      <c r="U46" s="94"/>
      <c r="V46" s="94"/>
      <c r="W46" s="94"/>
      <c r="X46" s="94"/>
      <c r="Y46" s="94"/>
      <c r="Z46" s="94"/>
    </row>
    <row r="47">
      <c r="A47" s="1"/>
      <c r="C47" s="44"/>
      <c r="E47" s="44"/>
      <c r="F47" s="94"/>
      <c r="G47" s="94"/>
      <c r="H47" s="94"/>
      <c r="I47" s="94"/>
      <c r="J47" s="94"/>
      <c r="K47" s="94"/>
      <c r="L47" s="94"/>
      <c r="M47" s="94"/>
      <c r="N47" s="94"/>
      <c r="O47" s="94"/>
      <c r="P47" s="94"/>
      <c r="Q47" s="94"/>
      <c r="R47" s="94"/>
      <c r="S47" s="94"/>
      <c r="T47" s="94"/>
      <c r="U47" s="94"/>
      <c r="V47" s="94"/>
      <c r="W47" s="94"/>
      <c r="X47" s="94"/>
      <c r="Y47" s="94"/>
      <c r="Z47" s="94"/>
    </row>
    <row r="48">
      <c r="A48" s="1"/>
      <c r="C48" s="44"/>
      <c r="E48" s="44"/>
      <c r="F48" s="94"/>
      <c r="G48" s="94"/>
      <c r="H48" s="94"/>
      <c r="I48" s="94"/>
      <c r="J48" s="94"/>
      <c r="K48" s="94"/>
      <c r="L48" s="94"/>
      <c r="M48" s="94"/>
      <c r="N48" s="94"/>
      <c r="O48" s="94"/>
      <c r="P48" s="94"/>
      <c r="Q48" s="94"/>
      <c r="R48" s="94"/>
      <c r="S48" s="94"/>
      <c r="T48" s="94"/>
      <c r="U48" s="94"/>
      <c r="V48" s="94"/>
      <c r="W48" s="94"/>
      <c r="X48" s="94"/>
      <c r="Y48" s="94"/>
      <c r="Z48" s="94"/>
    </row>
    <row r="49">
      <c r="A49" s="1"/>
      <c r="C49" s="44"/>
      <c r="E49" s="44"/>
      <c r="F49" s="94"/>
      <c r="G49" s="94"/>
      <c r="H49" s="94"/>
      <c r="I49" s="94"/>
      <c r="J49" s="94"/>
      <c r="K49" s="94"/>
      <c r="L49" s="94"/>
      <c r="M49" s="94"/>
      <c r="N49" s="94"/>
      <c r="O49" s="94"/>
      <c r="P49" s="94"/>
      <c r="Q49" s="94"/>
      <c r="R49" s="94"/>
      <c r="S49" s="94"/>
      <c r="T49" s="94"/>
      <c r="U49" s="94"/>
      <c r="V49" s="94"/>
      <c r="W49" s="94"/>
      <c r="X49" s="94"/>
      <c r="Y49" s="94"/>
      <c r="Z49" s="94"/>
    </row>
    <row r="50">
      <c r="A50" s="1"/>
      <c r="C50" s="44"/>
      <c r="E50" s="44"/>
      <c r="F50" s="94"/>
      <c r="G50" s="94"/>
      <c r="H50" s="94"/>
      <c r="I50" s="94"/>
      <c r="J50" s="94"/>
      <c r="K50" s="94"/>
      <c r="L50" s="94"/>
      <c r="M50" s="94"/>
      <c r="N50" s="94"/>
      <c r="O50" s="94"/>
      <c r="P50" s="94"/>
      <c r="Q50" s="94"/>
      <c r="R50" s="94"/>
      <c r="S50" s="94"/>
      <c r="T50" s="94"/>
      <c r="U50" s="94"/>
      <c r="V50" s="94"/>
      <c r="W50" s="94"/>
      <c r="X50" s="94"/>
      <c r="Y50" s="94"/>
      <c r="Z50" s="94"/>
    </row>
    <row r="51">
      <c r="A51" s="1"/>
      <c r="C51" s="44"/>
      <c r="E51" s="44"/>
      <c r="F51" s="94"/>
      <c r="G51" s="94"/>
      <c r="H51" s="94"/>
      <c r="I51" s="94"/>
      <c r="J51" s="94"/>
      <c r="K51" s="94"/>
      <c r="L51" s="94"/>
      <c r="M51" s="94"/>
      <c r="N51" s="94"/>
      <c r="O51" s="94"/>
      <c r="P51" s="94"/>
      <c r="Q51" s="94"/>
      <c r="R51" s="94"/>
      <c r="S51" s="94"/>
      <c r="T51" s="94"/>
      <c r="U51" s="94"/>
      <c r="V51" s="94"/>
      <c r="W51" s="94"/>
      <c r="X51" s="94"/>
      <c r="Y51" s="94"/>
      <c r="Z51" s="94"/>
    </row>
    <row r="52">
      <c r="A52" s="1"/>
      <c r="C52" s="44"/>
      <c r="E52" s="44"/>
      <c r="F52" s="94"/>
      <c r="G52" s="94"/>
      <c r="H52" s="94"/>
      <c r="I52" s="94"/>
      <c r="J52" s="94"/>
      <c r="K52" s="94"/>
      <c r="L52" s="94"/>
      <c r="M52" s="94"/>
      <c r="N52" s="94"/>
      <c r="O52" s="94"/>
      <c r="P52" s="94"/>
      <c r="Q52" s="94"/>
      <c r="R52" s="94"/>
      <c r="S52" s="94"/>
      <c r="T52" s="94"/>
      <c r="U52" s="94"/>
      <c r="V52" s="94"/>
      <c r="W52" s="94"/>
      <c r="X52" s="94"/>
      <c r="Y52" s="94"/>
      <c r="Z52" s="94"/>
    </row>
    <row r="53">
      <c r="A53" s="1"/>
      <c r="C53" s="44"/>
      <c r="E53" s="44"/>
      <c r="F53" s="94"/>
      <c r="G53" s="94"/>
      <c r="H53" s="94"/>
      <c r="I53" s="94"/>
      <c r="J53" s="94"/>
      <c r="K53" s="94"/>
      <c r="L53" s="94"/>
      <c r="M53" s="94"/>
      <c r="N53" s="94"/>
      <c r="O53" s="94"/>
      <c r="P53" s="94"/>
      <c r="Q53" s="94"/>
      <c r="R53" s="94"/>
      <c r="S53" s="94"/>
      <c r="T53" s="94"/>
      <c r="U53" s="94"/>
      <c r="V53" s="94"/>
      <c r="W53" s="94"/>
      <c r="X53" s="94"/>
      <c r="Y53" s="94"/>
      <c r="Z53" s="94"/>
    </row>
    <row r="54">
      <c r="A54" s="1"/>
      <c r="C54" s="44"/>
      <c r="E54" s="44"/>
      <c r="F54" s="94"/>
      <c r="G54" s="94"/>
      <c r="H54" s="94"/>
      <c r="I54" s="94"/>
      <c r="J54" s="94"/>
      <c r="K54" s="94"/>
      <c r="L54" s="94"/>
      <c r="M54" s="94"/>
      <c r="N54" s="94"/>
      <c r="O54" s="94"/>
      <c r="P54" s="94"/>
      <c r="Q54" s="94"/>
      <c r="R54" s="94"/>
      <c r="S54" s="94"/>
      <c r="T54" s="94"/>
      <c r="U54" s="94"/>
      <c r="V54" s="94"/>
      <c r="W54" s="94"/>
      <c r="X54" s="94"/>
      <c r="Y54" s="94"/>
      <c r="Z54" s="94"/>
    </row>
    <row r="55">
      <c r="A55" s="1"/>
      <c r="C55" s="44"/>
      <c r="E55" s="44"/>
      <c r="F55" s="94"/>
      <c r="G55" s="94"/>
      <c r="H55" s="94"/>
      <c r="I55" s="94"/>
      <c r="J55" s="94"/>
      <c r="K55" s="94"/>
      <c r="L55" s="94"/>
      <c r="M55" s="94"/>
      <c r="N55" s="94"/>
      <c r="O55" s="94"/>
      <c r="P55" s="94"/>
      <c r="Q55" s="94"/>
      <c r="R55" s="94"/>
      <c r="S55" s="94"/>
      <c r="T55" s="94"/>
      <c r="U55" s="94"/>
      <c r="V55" s="94"/>
      <c r="W55" s="94"/>
      <c r="X55" s="94"/>
      <c r="Y55" s="94"/>
      <c r="Z55" s="94"/>
    </row>
    <row r="56">
      <c r="A56" s="1"/>
      <c r="C56" s="44"/>
      <c r="E56" s="44"/>
      <c r="F56" s="94"/>
      <c r="G56" s="94"/>
      <c r="H56" s="94"/>
      <c r="I56" s="94"/>
      <c r="J56" s="94"/>
      <c r="K56" s="94"/>
      <c r="L56" s="94"/>
      <c r="M56" s="94"/>
      <c r="N56" s="94"/>
      <c r="O56" s="94"/>
      <c r="P56" s="94"/>
      <c r="Q56" s="94"/>
      <c r="R56" s="94"/>
      <c r="S56" s="94"/>
      <c r="T56" s="94"/>
      <c r="U56" s="94"/>
      <c r="V56" s="94"/>
      <c r="W56" s="94"/>
      <c r="X56" s="94"/>
      <c r="Y56" s="94"/>
      <c r="Z56" s="94"/>
    </row>
    <row r="57">
      <c r="A57" s="1"/>
      <c r="C57" s="44"/>
      <c r="E57" s="44"/>
      <c r="F57" s="94"/>
      <c r="G57" s="94"/>
      <c r="H57" s="94"/>
      <c r="I57" s="94"/>
      <c r="J57" s="94"/>
      <c r="K57" s="94"/>
      <c r="L57" s="94"/>
      <c r="M57" s="94"/>
      <c r="N57" s="94"/>
      <c r="O57" s="94"/>
      <c r="P57" s="94"/>
      <c r="Q57" s="94"/>
      <c r="R57" s="94"/>
      <c r="S57" s="94"/>
      <c r="T57" s="94"/>
      <c r="U57" s="94"/>
      <c r="V57" s="94"/>
      <c r="W57" s="94"/>
      <c r="X57" s="94"/>
      <c r="Y57" s="94"/>
      <c r="Z57" s="94"/>
    </row>
    <row r="58">
      <c r="A58" s="1"/>
      <c r="C58" s="44"/>
      <c r="E58" s="44"/>
      <c r="F58" s="94"/>
      <c r="G58" s="94"/>
      <c r="H58" s="94"/>
      <c r="I58" s="94"/>
      <c r="J58" s="94"/>
      <c r="K58" s="94"/>
      <c r="L58" s="94"/>
      <c r="M58" s="94"/>
      <c r="N58" s="94"/>
      <c r="O58" s="94"/>
      <c r="P58" s="94"/>
      <c r="Q58" s="94"/>
      <c r="R58" s="94"/>
      <c r="S58" s="94"/>
      <c r="T58" s="94"/>
      <c r="U58" s="94"/>
      <c r="V58" s="94"/>
      <c r="W58" s="94"/>
      <c r="X58" s="94"/>
      <c r="Y58" s="94"/>
      <c r="Z58" s="94"/>
    </row>
    <row r="59">
      <c r="A59" s="1"/>
      <c r="C59" s="44"/>
      <c r="E59" s="44"/>
      <c r="F59" s="94"/>
      <c r="G59" s="94"/>
      <c r="H59" s="94"/>
      <c r="I59" s="94"/>
      <c r="J59" s="94"/>
      <c r="K59" s="94"/>
      <c r="L59" s="94"/>
      <c r="M59" s="94"/>
      <c r="N59" s="94"/>
      <c r="O59" s="94"/>
      <c r="P59" s="94"/>
      <c r="Q59" s="94"/>
      <c r="R59" s="94"/>
      <c r="S59" s="94"/>
      <c r="T59" s="94"/>
      <c r="U59" s="94"/>
      <c r="V59" s="94"/>
      <c r="W59" s="94"/>
      <c r="X59" s="94"/>
      <c r="Y59" s="94"/>
      <c r="Z59" s="94"/>
    </row>
    <row r="60">
      <c r="A60" s="1"/>
      <c r="C60" s="44"/>
      <c r="E60" s="44"/>
      <c r="F60" s="94"/>
      <c r="G60" s="94"/>
      <c r="H60" s="94"/>
      <c r="I60" s="94"/>
      <c r="J60" s="94"/>
      <c r="K60" s="94"/>
      <c r="L60" s="94"/>
      <c r="M60" s="94"/>
      <c r="N60" s="94"/>
      <c r="O60" s="94"/>
      <c r="P60" s="94"/>
      <c r="Q60" s="94"/>
      <c r="R60" s="94"/>
      <c r="S60" s="94"/>
      <c r="T60" s="94"/>
      <c r="U60" s="94"/>
      <c r="V60" s="94"/>
      <c r="W60" s="94"/>
      <c r="X60" s="94"/>
      <c r="Y60" s="94"/>
      <c r="Z60" s="94"/>
    </row>
    <row r="61">
      <c r="A61" s="1"/>
      <c r="C61" s="44"/>
      <c r="E61" s="44"/>
      <c r="F61" s="94"/>
      <c r="G61" s="94"/>
      <c r="H61" s="94"/>
      <c r="I61" s="94"/>
      <c r="J61" s="94"/>
      <c r="K61" s="94"/>
      <c r="L61" s="94"/>
      <c r="M61" s="94"/>
      <c r="N61" s="94"/>
      <c r="O61" s="94"/>
      <c r="P61" s="94"/>
      <c r="Q61" s="94"/>
      <c r="R61" s="94"/>
      <c r="S61" s="94"/>
      <c r="T61" s="94"/>
      <c r="U61" s="94"/>
      <c r="V61" s="94"/>
      <c r="W61" s="94"/>
      <c r="X61" s="94"/>
      <c r="Y61" s="94"/>
      <c r="Z61" s="94"/>
    </row>
    <row r="62">
      <c r="A62" s="1"/>
      <c r="C62" s="44"/>
      <c r="E62" s="44"/>
      <c r="F62" s="94"/>
      <c r="G62" s="94"/>
      <c r="H62" s="94"/>
      <c r="I62" s="94"/>
      <c r="J62" s="94"/>
      <c r="K62" s="94"/>
      <c r="L62" s="94"/>
      <c r="M62" s="94"/>
      <c r="N62" s="94"/>
      <c r="O62" s="94"/>
      <c r="P62" s="94"/>
      <c r="Q62" s="94"/>
      <c r="R62" s="94"/>
      <c r="S62" s="94"/>
      <c r="T62" s="94"/>
      <c r="U62" s="94"/>
      <c r="V62" s="94"/>
      <c r="W62" s="94"/>
      <c r="X62" s="94"/>
      <c r="Y62" s="94"/>
      <c r="Z62" s="94"/>
    </row>
    <row r="63">
      <c r="A63" s="1"/>
      <c r="C63" s="44"/>
      <c r="E63" s="44"/>
      <c r="F63" s="94"/>
      <c r="G63" s="94"/>
      <c r="H63" s="94"/>
      <c r="I63" s="94"/>
      <c r="J63" s="94"/>
      <c r="K63" s="94"/>
      <c r="L63" s="94"/>
      <c r="M63" s="94"/>
      <c r="N63" s="94"/>
      <c r="O63" s="94"/>
      <c r="P63" s="94"/>
      <c r="Q63" s="94"/>
      <c r="R63" s="94"/>
      <c r="S63" s="94"/>
      <c r="T63" s="94"/>
      <c r="U63" s="94"/>
      <c r="V63" s="94"/>
      <c r="W63" s="94"/>
      <c r="X63" s="94"/>
      <c r="Y63" s="94"/>
      <c r="Z63" s="94"/>
    </row>
    <row r="64">
      <c r="A64" s="1"/>
      <c r="C64" s="44"/>
      <c r="E64" s="44"/>
      <c r="F64" s="94"/>
      <c r="G64" s="94"/>
      <c r="H64" s="94"/>
      <c r="I64" s="94"/>
      <c r="J64" s="94"/>
      <c r="K64" s="94"/>
      <c r="L64" s="94"/>
      <c r="M64" s="94"/>
      <c r="N64" s="94"/>
      <c r="O64" s="94"/>
      <c r="P64" s="94"/>
      <c r="Q64" s="94"/>
      <c r="R64" s="94"/>
      <c r="S64" s="94"/>
      <c r="T64" s="94"/>
      <c r="U64" s="94"/>
      <c r="V64" s="94"/>
      <c r="W64" s="94"/>
      <c r="X64" s="94"/>
      <c r="Y64" s="94"/>
      <c r="Z64" s="94"/>
    </row>
    <row r="65">
      <c r="A65" s="1"/>
      <c r="C65" s="44"/>
      <c r="E65" s="44"/>
      <c r="F65" s="94"/>
      <c r="G65" s="94"/>
      <c r="H65" s="94"/>
      <c r="I65" s="94"/>
      <c r="J65" s="94"/>
      <c r="K65" s="94"/>
      <c r="L65" s="94"/>
      <c r="M65" s="94"/>
      <c r="N65" s="94"/>
      <c r="O65" s="94"/>
      <c r="P65" s="94"/>
      <c r="Q65" s="94"/>
      <c r="R65" s="94"/>
      <c r="S65" s="94"/>
      <c r="T65" s="94"/>
      <c r="U65" s="94"/>
      <c r="V65" s="94"/>
      <c r="W65" s="94"/>
      <c r="X65" s="94"/>
      <c r="Y65" s="94"/>
      <c r="Z65" s="94"/>
    </row>
    <row r="66">
      <c r="A66" s="1"/>
      <c r="C66" s="44"/>
      <c r="E66" s="44"/>
      <c r="F66" s="94"/>
      <c r="G66" s="94"/>
      <c r="H66" s="94"/>
      <c r="I66" s="94"/>
      <c r="J66" s="94"/>
      <c r="K66" s="94"/>
      <c r="L66" s="94"/>
      <c r="M66" s="94"/>
      <c r="N66" s="94"/>
      <c r="O66" s="94"/>
      <c r="P66" s="94"/>
      <c r="Q66" s="94"/>
      <c r="R66" s="94"/>
      <c r="S66" s="94"/>
      <c r="T66" s="94"/>
      <c r="U66" s="94"/>
      <c r="V66" s="94"/>
      <c r="W66" s="94"/>
      <c r="X66" s="94"/>
      <c r="Y66" s="94"/>
      <c r="Z66" s="94"/>
    </row>
    <row r="67">
      <c r="A67" s="1"/>
      <c r="C67" s="44"/>
      <c r="E67" s="44"/>
      <c r="F67" s="94"/>
      <c r="G67" s="94"/>
      <c r="H67" s="94"/>
      <c r="I67" s="94"/>
      <c r="J67" s="94"/>
      <c r="K67" s="94"/>
      <c r="L67" s="94"/>
      <c r="M67" s="94"/>
      <c r="N67" s="94"/>
      <c r="O67" s="94"/>
      <c r="P67" s="94"/>
      <c r="Q67" s="94"/>
      <c r="R67" s="94"/>
      <c r="S67" s="94"/>
      <c r="T67" s="94"/>
      <c r="U67" s="94"/>
      <c r="V67" s="94"/>
      <c r="W67" s="94"/>
      <c r="X67" s="94"/>
      <c r="Y67" s="94"/>
      <c r="Z67" s="94"/>
    </row>
    <row r="68">
      <c r="A68" s="1"/>
      <c r="C68" s="44"/>
      <c r="E68" s="44"/>
      <c r="F68" s="94"/>
      <c r="G68" s="94"/>
      <c r="H68" s="94"/>
      <c r="I68" s="94"/>
      <c r="J68" s="94"/>
      <c r="K68" s="94"/>
      <c r="L68" s="94"/>
      <c r="M68" s="94"/>
      <c r="N68" s="94"/>
      <c r="O68" s="94"/>
      <c r="P68" s="94"/>
      <c r="Q68" s="94"/>
      <c r="R68" s="94"/>
      <c r="S68" s="94"/>
      <c r="T68" s="94"/>
      <c r="U68" s="94"/>
      <c r="V68" s="94"/>
      <c r="W68" s="94"/>
      <c r="X68" s="94"/>
      <c r="Y68" s="94"/>
      <c r="Z68" s="94"/>
    </row>
    <row r="69">
      <c r="A69" s="1"/>
      <c r="C69" s="44"/>
      <c r="E69" s="44"/>
      <c r="F69" s="94"/>
      <c r="G69" s="94"/>
      <c r="H69" s="94"/>
      <c r="I69" s="94"/>
      <c r="J69" s="94"/>
      <c r="K69" s="94"/>
      <c r="L69" s="94"/>
      <c r="M69" s="94"/>
      <c r="N69" s="94"/>
      <c r="O69" s="94"/>
      <c r="P69" s="94"/>
      <c r="Q69" s="94"/>
      <c r="R69" s="94"/>
      <c r="S69" s="94"/>
      <c r="T69" s="94"/>
      <c r="U69" s="94"/>
      <c r="V69" s="94"/>
      <c r="W69" s="94"/>
      <c r="X69" s="94"/>
      <c r="Y69" s="94"/>
      <c r="Z69" s="94"/>
    </row>
    <row r="70">
      <c r="A70" s="1"/>
      <c r="C70" s="44"/>
      <c r="E70" s="44"/>
      <c r="F70" s="94"/>
      <c r="G70" s="94"/>
      <c r="H70" s="94"/>
      <c r="I70" s="94"/>
      <c r="J70" s="94"/>
      <c r="K70" s="94"/>
      <c r="L70" s="94"/>
      <c r="M70" s="94"/>
      <c r="N70" s="94"/>
      <c r="O70" s="94"/>
      <c r="P70" s="94"/>
      <c r="Q70" s="94"/>
      <c r="R70" s="94"/>
      <c r="S70" s="94"/>
      <c r="T70" s="94"/>
      <c r="U70" s="94"/>
      <c r="V70" s="94"/>
      <c r="W70" s="94"/>
      <c r="X70" s="94"/>
      <c r="Y70" s="94"/>
      <c r="Z70" s="94"/>
    </row>
    <row r="71">
      <c r="A71" s="1"/>
      <c r="C71" s="44"/>
      <c r="E71" s="44"/>
      <c r="F71" s="94"/>
      <c r="G71" s="94"/>
      <c r="H71" s="94"/>
      <c r="I71" s="94"/>
      <c r="J71" s="94"/>
      <c r="K71" s="94"/>
      <c r="L71" s="94"/>
      <c r="M71" s="94"/>
      <c r="N71" s="94"/>
      <c r="O71" s="94"/>
      <c r="P71" s="94"/>
      <c r="Q71" s="94"/>
      <c r="R71" s="94"/>
      <c r="S71" s="94"/>
      <c r="T71" s="94"/>
      <c r="U71" s="94"/>
      <c r="V71" s="94"/>
      <c r="W71" s="94"/>
      <c r="X71" s="94"/>
      <c r="Y71" s="94"/>
      <c r="Z71" s="94"/>
    </row>
    <row r="72">
      <c r="A72" s="1"/>
      <c r="C72" s="44"/>
      <c r="E72" s="44"/>
      <c r="F72" s="94"/>
      <c r="G72" s="94"/>
      <c r="H72" s="94"/>
      <c r="I72" s="94"/>
      <c r="J72" s="94"/>
      <c r="K72" s="94"/>
      <c r="L72" s="94"/>
      <c r="M72" s="94"/>
      <c r="N72" s="94"/>
      <c r="O72" s="94"/>
      <c r="P72" s="94"/>
      <c r="Q72" s="94"/>
      <c r="R72" s="94"/>
      <c r="S72" s="94"/>
      <c r="T72" s="94"/>
      <c r="U72" s="94"/>
      <c r="V72" s="94"/>
      <c r="W72" s="94"/>
      <c r="X72" s="94"/>
      <c r="Y72" s="94"/>
      <c r="Z72" s="94"/>
    </row>
    <row r="73">
      <c r="A73" s="1"/>
      <c r="C73" s="44"/>
      <c r="E73" s="44"/>
      <c r="F73" s="94"/>
      <c r="G73" s="94"/>
      <c r="H73" s="94"/>
      <c r="I73" s="94"/>
      <c r="J73" s="94"/>
      <c r="K73" s="94"/>
      <c r="L73" s="94"/>
      <c r="M73" s="94"/>
      <c r="N73" s="94"/>
      <c r="O73" s="94"/>
      <c r="P73" s="94"/>
      <c r="Q73" s="94"/>
      <c r="R73" s="94"/>
      <c r="S73" s="94"/>
      <c r="T73" s="94"/>
      <c r="U73" s="94"/>
      <c r="V73" s="94"/>
      <c r="W73" s="94"/>
      <c r="X73" s="94"/>
      <c r="Y73" s="94"/>
      <c r="Z73" s="94"/>
    </row>
    <row r="74">
      <c r="A74" s="1"/>
      <c r="C74" s="44"/>
      <c r="E74" s="44"/>
      <c r="F74" s="94"/>
      <c r="G74" s="94"/>
      <c r="H74" s="94"/>
      <c r="I74" s="94"/>
      <c r="J74" s="94"/>
      <c r="K74" s="94"/>
      <c r="L74" s="94"/>
      <c r="M74" s="94"/>
      <c r="N74" s="94"/>
      <c r="O74" s="94"/>
      <c r="P74" s="94"/>
      <c r="Q74" s="94"/>
      <c r="R74" s="94"/>
      <c r="S74" s="94"/>
      <c r="T74" s="94"/>
      <c r="U74" s="94"/>
      <c r="V74" s="94"/>
      <c r="W74" s="94"/>
      <c r="X74" s="94"/>
      <c r="Y74" s="94"/>
      <c r="Z74" s="94"/>
    </row>
    <row r="75">
      <c r="A75" s="1"/>
      <c r="C75" s="44"/>
      <c r="E75" s="44"/>
      <c r="F75" s="94"/>
      <c r="G75" s="94"/>
      <c r="H75" s="94"/>
      <c r="I75" s="94"/>
      <c r="J75" s="94"/>
      <c r="K75" s="94"/>
      <c r="L75" s="94"/>
      <c r="M75" s="94"/>
      <c r="N75" s="94"/>
      <c r="O75" s="94"/>
      <c r="P75" s="94"/>
      <c r="Q75" s="94"/>
      <c r="R75" s="94"/>
      <c r="S75" s="94"/>
      <c r="T75" s="94"/>
      <c r="U75" s="94"/>
      <c r="V75" s="94"/>
      <c r="W75" s="94"/>
      <c r="X75" s="94"/>
      <c r="Y75" s="94"/>
      <c r="Z75" s="94"/>
    </row>
    <row r="76">
      <c r="A76" s="1"/>
      <c r="C76" s="44"/>
      <c r="E76" s="44"/>
      <c r="F76" s="94"/>
      <c r="G76" s="94"/>
      <c r="H76" s="94"/>
      <c r="I76" s="94"/>
      <c r="J76" s="94"/>
      <c r="K76" s="94"/>
      <c r="L76" s="94"/>
      <c r="M76" s="94"/>
      <c r="N76" s="94"/>
      <c r="O76" s="94"/>
      <c r="P76" s="94"/>
      <c r="Q76" s="94"/>
      <c r="R76" s="94"/>
      <c r="S76" s="94"/>
      <c r="T76" s="94"/>
      <c r="U76" s="94"/>
      <c r="V76" s="94"/>
      <c r="W76" s="94"/>
      <c r="X76" s="94"/>
      <c r="Y76" s="94"/>
      <c r="Z76" s="94"/>
    </row>
    <row r="77">
      <c r="A77" s="1"/>
      <c r="C77" s="44"/>
      <c r="E77" s="44"/>
      <c r="F77" s="94"/>
      <c r="G77" s="94"/>
      <c r="H77" s="94"/>
      <c r="I77" s="94"/>
      <c r="J77" s="94"/>
      <c r="K77" s="94"/>
      <c r="L77" s="94"/>
      <c r="M77" s="94"/>
      <c r="N77" s="94"/>
      <c r="O77" s="94"/>
      <c r="P77" s="94"/>
      <c r="Q77" s="94"/>
      <c r="R77" s="94"/>
      <c r="S77" s="94"/>
      <c r="T77" s="94"/>
      <c r="U77" s="94"/>
      <c r="V77" s="94"/>
      <c r="W77" s="94"/>
      <c r="X77" s="94"/>
      <c r="Y77" s="94"/>
      <c r="Z77" s="94"/>
    </row>
    <row r="78">
      <c r="A78" s="1"/>
      <c r="C78" s="44"/>
      <c r="E78" s="44"/>
      <c r="F78" s="94"/>
      <c r="G78" s="94"/>
      <c r="H78" s="94"/>
      <c r="I78" s="94"/>
      <c r="J78" s="94"/>
      <c r="K78" s="94"/>
      <c r="L78" s="94"/>
      <c r="M78" s="94"/>
      <c r="N78" s="94"/>
      <c r="O78" s="94"/>
      <c r="P78" s="94"/>
      <c r="Q78" s="94"/>
      <c r="R78" s="94"/>
      <c r="S78" s="94"/>
      <c r="T78" s="94"/>
      <c r="U78" s="94"/>
      <c r="V78" s="94"/>
      <c r="W78" s="94"/>
      <c r="X78" s="94"/>
      <c r="Y78" s="94"/>
      <c r="Z78" s="94"/>
    </row>
    <row r="79">
      <c r="A79" s="1"/>
      <c r="C79" s="44"/>
      <c r="E79" s="44"/>
      <c r="F79" s="94"/>
      <c r="G79" s="94"/>
      <c r="H79" s="94"/>
      <c r="I79" s="94"/>
      <c r="J79" s="94"/>
      <c r="K79" s="94"/>
      <c r="L79" s="94"/>
      <c r="M79" s="94"/>
      <c r="N79" s="94"/>
      <c r="O79" s="94"/>
      <c r="P79" s="94"/>
      <c r="Q79" s="94"/>
      <c r="R79" s="94"/>
      <c r="S79" s="94"/>
      <c r="T79" s="94"/>
      <c r="U79" s="94"/>
      <c r="V79" s="94"/>
      <c r="W79" s="94"/>
      <c r="X79" s="94"/>
      <c r="Y79" s="94"/>
      <c r="Z79" s="94"/>
    </row>
    <row r="80">
      <c r="A80" s="1"/>
      <c r="C80" s="44"/>
      <c r="E80" s="44"/>
      <c r="F80" s="94"/>
      <c r="G80" s="94"/>
      <c r="H80" s="94"/>
      <c r="I80" s="94"/>
      <c r="J80" s="94"/>
      <c r="K80" s="94"/>
      <c r="L80" s="94"/>
      <c r="M80" s="94"/>
      <c r="N80" s="94"/>
      <c r="O80" s="94"/>
      <c r="P80" s="94"/>
      <c r="Q80" s="94"/>
      <c r="R80" s="94"/>
      <c r="S80" s="94"/>
      <c r="T80" s="94"/>
      <c r="U80" s="94"/>
      <c r="V80" s="94"/>
      <c r="W80" s="94"/>
      <c r="X80" s="94"/>
      <c r="Y80" s="94"/>
      <c r="Z80" s="94"/>
    </row>
    <row r="81">
      <c r="A81" s="1"/>
      <c r="C81" s="44"/>
      <c r="E81" s="44"/>
      <c r="F81" s="94"/>
      <c r="G81" s="94"/>
      <c r="H81" s="94"/>
      <c r="I81" s="94"/>
      <c r="J81" s="94"/>
      <c r="K81" s="94"/>
      <c r="L81" s="94"/>
      <c r="M81" s="94"/>
      <c r="N81" s="94"/>
      <c r="O81" s="94"/>
      <c r="P81" s="94"/>
      <c r="Q81" s="94"/>
      <c r="R81" s="94"/>
      <c r="S81" s="94"/>
      <c r="T81" s="94"/>
      <c r="U81" s="94"/>
      <c r="V81" s="94"/>
      <c r="W81" s="94"/>
      <c r="X81" s="94"/>
      <c r="Y81" s="94"/>
      <c r="Z81" s="94"/>
    </row>
    <row r="82">
      <c r="A82" s="1"/>
      <c r="C82" s="44"/>
      <c r="E82" s="44"/>
      <c r="F82" s="94"/>
      <c r="G82" s="94"/>
      <c r="H82" s="94"/>
      <c r="I82" s="94"/>
      <c r="J82" s="94"/>
      <c r="K82" s="94"/>
      <c r="L82" s="94"/>
      <c r="M82" s="94"/>
      <c r="N82" s="94"/>
      <c r="O82" s="94"/>
      <c r="P82" s="94"/>
      <c r="Q82" s="94"/>
      <c r="R82" s="94"/>
      <c r="S82" s="94"/>
      <c r="T82" s="94"/>
      <c r="U82" s="94"/>
      <c r="V82" s="94"/>
      <c r="W82" s="94"/>
      <c r="X82" s="94"/>
      <c r="Y82" s="94"/>
      <c r="Z82" s="94"/>
    </row>
    <row r="83">
      <c r="A83" s="1"/>
      <c r="C83" s="44"/>
      <c r="E83" s="44"/>
      <c r="F83" s="94"/>
      <c r="G83" s="94"/>
      <c r="H83" s="94"/>
      <c r="I83" s="94"/>
      <c r="J83" s="94"/>
      <c r="K83" s="94"/>
      <c r="L83" s="94"/>
      <c r="M83" s="94"/>
      <c r="N83" s="94"/>
      <c r="O83" s="94"/>
      <c r="P83" s="94"/>
      <c r="Q83" s="94"/>
      <c r="R83" s="94"/>
      <c r="S83" s="94"/>
      <c r="T83" s="94"/>
      <c r="U83" s="94"/>
      <c r="V83" s="94"/>
      <c r="W83" s="94"/>
      <c r="X83" s="94"/>
      <c r="Y83" s="94"/>
      <c r="Z83" s="94"/>
    </row>
    <row r="84">
      <c r="A84" s="1"/>
      <c r="C84" s="44"/>
      <c r="E84" s="44"/>
      <c r="F84" s="94"/>
      <c r="G84" s="94"/>
      <c r="H84" s="94"/>
      <c r="I84" s="94"/>
      <c r="J84" s="94"/>
      <c r="K84" s="94"/>
      <c r="L84" s="94"/>
      <c r="M84" s="94"/>
      <c r="N84" s="94"/>
      <c r="O84" s="94"/>
      <c r="P84" s="94"/>
      <c r="Q84" s="94"/>
      <c r="R84" s="94"/>
      <c r="S84" s="94"/>
      <c r="T84" s="94"/>
      <c r="U84" s="94"/>
      <c r="V84" s="94"/>
      <c r="W84" s="94"/>
      <c r="X84" s="94"/>
      <c r="Y84" s="94"/>
      <c r="Z84" s="94"/>
    </row>
    <row r="85">
      <c r="A85" s="1"/>
      <c r="C85" s="44"/>
      <c r="E85" s="44"/>
      <c r="F85" s="94"/>
      <c r="G85" s="94"/>
      <c r="H85" s="94"/>
      <c r="I85" s="94"/>
      <c r="J85" s="94"/>
      <c r="K85" s="94"/>
      <c r="L85" s="94"/>
      <c r="M85" s="94"/>
      <c r="N85" s="94"/>
      <c r="O85" s="94"/>
      <c r="P85" s="94"/>
      <c r="Q85" s="94"/>
      <c r="R85" s="94"/>
      <c r="S85" s="94"/>
      <c r="T85" s="94"/>
      <c r="U85" s="94"/>
      <c r="V85" s="94"/>
      <c r="W85" s="94"/>
      <c r="X85" s="94"/>
      <c r="Y85" s="94"/>
      <c r="Z85" s="94"/>
    </row>
    <row r="86">
      <c r="A86" s="1"/>
      <c r="C86" s="44"/>
      <c r="E86" s="44"/>
      <c r="F86" s="94"/>
      <c r="G86" s="94"/>
      <c r="H86" s="94"/>
      <c r="I86" s="94"/>
      <c r="J86" s="94"/>
      <c r="K86" s="94"/>
      <c r="L86" s="94"/>
      <c r="M86" s="94"/>
      <c r="N86" s="94"/>
      <c r="O86" s="94"/>
      <c r="P86" s="94"/>
      <c r="Q86" s="94"/>
      <c r="R86" s="94"/>
      <c r="S86" s="94"/>
      <c r="T86" s="94"/>
      <c r="U86" s="94"/>
      <c r="V86" s="94"/>
      <c r="W86" s="94"/>
      <c r="X86" s="94"/>
      <c r="Y86" s="94"/>
      <c r="Z86" s="94"/>
    </row>
    <row r="87">
      <c r="A87" s="1"/>
      <c r="C87" s="44"/>
      <c r="E87" s="44"/>
      <c r="F87" s="94"/>
      <c r="G87" s="94"/>
      <c r="H87" s="94"/>
      <c r="I87" s="94"/>
      <c r="J87" s="94"/>
      <c r="K87" s="94"/>
      <c r="L87" s="94"/>
      <c r="M87" s="94"/>
      <c r="N87" s="94"/>
      <c r="O87" s="94"/>
      <c r="P87" s="94"/>
      <c r="Q87" s="94"/>
      <c r="R87" s="94"/>
      <c r="S87" s="94"/>
      <c r="T87" s="94"/>
      <c r="U87" s="94"/>
      <c r="V87" s="94"/>
      <c r="W87" s="94"/>
      <c r="X87" s="94"/>
      <c r="Y87" s="94"/>
      <c r="Z87" s="94"/>
    </row>
    <row r="88">
      <c r="A88" s="1"/>
      <c r="C88" s="44"/>
      <c r="E88" s="44"/>
      <c r="F88" s="94"/>
      <c r="G88" s="94"/>
      <c r="H88" s="94"/>
      <c r="I88" s="94"/>
      <c r="J88" s="94"/>
      <c r="K88" s="94"/>
      <c r="L88" s="94"/>
      <c r="M88" s="94"/>
      <c r="N88" s="94"/>
      <c r="O88" s="94"/>
      <c r="P88" s="94"/>
      <c r="Q88" s="94"/>
      <c r="R88" s="94"/>
      <c r="S88" s="94"/>
      <c r="T88" s="94"/>
      <c r="U88" s="94"/>
      <c r="V88" s="94"/>
      <c r="W88" s="94"/>
      <c r="X88" s="94"/>
      <c r="Y88" s="94"/>
      <c r="Z88" s="94"/>
    </row>
    <row r="89">
      <c r="A89" s="1"/>
      <c r="C89" s="44"/>
      <c r="E89" s="44"/>
      <c r="F89" s="94"/>
      <c r="G89" s="94"/>
      <c r="H89" s="94"/>
      <c r="I89" s="94"/>
      <c r="J89" s="94"/>
      <c r="K89" s="94"/>
      <c r="L89" s="94"/>
      <c r="M89" s="94"/>
      <c r="N89" s="94"/>
      <c r="O89" s="94"/>
      <c r="P89" s="94"/>
      <c r="Q89" s="94"/>
      <c r="R89" s="94"/>
      <c r="S89" s="94"/>
      <c r="T89" s="94"/>
      <c r="U89" s="94"/>
      <c r="V89" s="94"/>
      <c r="W89" s="94"/>
      <c r="X89" s="94"/>
      <c r="Y89" s="94"/>
      <c r="Z89" s="94"/>
    </row>
    <row r="90">
      <c r="A90" s="1"/>
      <c r="C90" s="44"/>
      <c r="E90" s="44"/>
      <c r="F90" s="94"/>
      <c r="G90" s="94"/>
      <c r="H90" s="94"/>
      <c r="I90" s="94"/>
      <c r="J90" s="94"/>
      <c r="K90" s="94"/>
      <c r="L90" s="94"/>
      <c r="M90" s="94"/>
      <c r="N90" s="94"/>
      <c r="O90" s="94"/>
      <c r="P90" s="94"/>
      <c r="Q90" s="94"/>
      <c r="R90" s="94"/>
      <c r="S90" s="94"/>
      <c r="T90" s="94"/>
      <c r="U90" s="94"/>
      <c r="V90" s="94"/>
      <c r="W90" s="94"/>
      <c r="X90" s="94"/>
      <c r="Y90" s="94"/>
      <c r="Z90" s="94"/>
    </row>
    <row r="91">
      <c r="A91" s="1"/>
      <c r="C91" s="44"/>
      <c r="E91" s="44"/>
      <c r="F91" s="94"/>
      <c r="G91" s="94"/>
      <c r="H91" s="94"/>
      <c r="I91" s="94"/>
      <c r="J91" s="94"/>
      <c r="K91" s="94"/>
      <c r="L91" s="94"/>
      <c r="M91" s="94"/>
      <c r="N91" s="94"/>
      <c r="O91" s="94"/>
      <c r="P91" s="94"/>
      <c r="Q91" s="94"/>
      <c r="R91" s="94"/>
      <c r="S91" s="94"/>
      <c r="T91" s="94"/>
      <c r="U91" s="94"/>
      <c r="V91" s="94"/>
      <c r="W91" s="94"/>
      <c r="X91" s="94"/>
      <c r="Y91" s="94"/>
      <c r="Z91" s="94"/>
    </row>
    <row r="92">
      <c r="A92" s="1"/>
      <c r="C92" s="44"/>
      <c r="E92" s="44"/>
      <c r="F92" s="94"/>
      <c r="G92" s="94"/>
      <c r="H92" s="94"/>
      <c r="I92" s="94"/>
      <c r="J92" s="94"/>
      <c r="K92" s="94"/>
      <c r="L92" s="94"/>
      <c r="M92" s="94"/>
      <c r="N92" s="94"/>
      <c r="O92" s="94"/>
      <c r="P92" s="94"/>
      <c r="Q92" s="94"/>
      <c r="R92" s="94"/>
      <c r="S92" s="94"/>
      <c r="T92" s="94"/>
      <c r="U92" s="94"/>
      <c r="V92" s="94"/>
      <c r="W92" s="94"/>
      <c r="X92" s="94"/>
      <c r="Y92" s="94"/>
      <c r="Z92" s="94"/>
    </row>
    <row r="93">
      <c r="A93" s="1"/>
      <c r="C93" s="44"/>
      <c r="E93" s="44"/>
      <c r="F93" s="94"/>
      <c r="G93" s="94"/>
      <c r="H93" s="94"/>
      <c r="I93" s="94"/>
      <c r="J93" s="94"/>
      <c r="K93" s="94"/>
      <c r="L93" s="94"/>
      <c r="M93" s="94"/>
      <c r="N93" s="94"/>
      <c r="O93" s="94"/>
      <c r="P93" s="94"/>
      <c r="Q93" s="94"/>
      <c r="R93" s="94"/>
      <c r="S93" s="94"/>
      <c r="T93" s="94"/>
      <c r="U93" s="94"/>
      <c r="V93" s="94"/>
      <c r="W93" s="94"/>
      <c r="X93" s="94"/>
      <c r="Y93" s="94"/>
      <c r="Z93" s="94"/>
    </row>
    <row r="94">
      <c r="A94" s="1"/>
      <c r="C94" s="44"/>
      <c r="E94" s="44"/>
      <c r="F94" s="94"/>
      <c r="G94" s="94"/>
      <c r="H94" s="94"/>
      <c r="I94" s="94"/>
      <c r="J94" s="94"/>
      <c r="K94" s="94"/>
      <c r="L94" s="94"/>
      <c r="M94" s="94"/>
      <c r="N94" s="94"/>
      <c r="O94" s="94"/>
      <c r="P94" s="94"/>
      <c r="Q94" s="94"/>
      <c r="R94" s="94"/>
      <c r="S94" s="94"/>
      <c r="T94" s="94"/>
      <c r="U94" s="94"/>
      <c r="V94" s="94"/>
      <c r="W94" s="94"/>
      <c r="X94" s="94"/>
      <c r="Y94" s="94"/>
      <c r="Z94" s="94"/>
    </row>
    <row r="95">
      <c r="A95" s="1"/>
      <c r="C95" s="44"/>
      <c r="E95" s="44"/>
      <c r="F95" s="94"/>
      <c r="G95" s="94"/>
      <c r="H95" s="94"/>
      <c r="I95" s="94"/>
      <c r="J95" s="94"/>
      <c r="K95" s="94"/>
      <c r="L95" s="94"/>
      <c r="M95" s="94"/>
      <c r="N95" s="94"/>
      <c r="O95" s="94"/>
      <c r="P95" s="94"/>
      <c r="Q95" s="94"/>
      <c r="R95" s="94"/>
      <c r="S95" s="94"/>
      <c r="T95" s="94"/>
      <c r="U95" s="94"/>
      <c r="V95" s="94"/>
      <c r="W95" s="94"/>
      <c r="X95" s="94"/>
      <c r="Y95" s="94"/>
      <c r="Z95" s="94"/>
    </row>
    <row r="96">
      <c r="A96" s="1"/>
      <c r="C96" s="44"/>
      <c r="E96" s="44"/>
      <c r="F96" s="94"/>
      <c r="G96" s="94"/>
      <c r="H96" s="94"/>
      <c r="I96" s="94"/>
      <c r="J96" s="94"/>
      <c r="K96" s="94"/>
      <c r="L96" s="94"/>
      <c r="M96" s="94"/>
      <c r="N96" s="94"/>
      <c r="O96" s="94"/>
      <c r="P96" s="94"/>
      <c r="Q96" s="94"/>
      <c r="R96" s="94"/>
      <c r="S96" s="94"/>
      <c r="T96" s="94"/>
      <c r="U96" s="94"/>
      <c r="V96" s="94"/>
      <c r="W96" s="94"/>
      <c r="X96" s="94"/>
      <c r="Y96" s="94"/>
      <c r="Z96" s="94"/>
    </row>
    <row r="97">
      <c r="A97" s="1"/>
      <c r="C97" s="44"/>
      <c r="E97" s="44"/>
      <c r="F97" s="94"/>
      <c r="G97" s="94"/>
      <c r="H97" s="94"/>
      <c r="I97" s="94"/>
      <c r="J97" s="94"/>
      <c r="K97" s="94"/>
      <c r="L97" s="94"/>
      <c r="M97" s="94"/>
      <c r="N97" s="94"/>
      <c r="O97" s="94"/>
      <c r="P97" s="94"/>
      <c r="Q97" s="94"/>
      <c r="R97" s="94"/>
      <c r="S97" s="94"/>
      <c r="T97" s="94"/>
      <c r="U97" s="94"/>
      <c r="V97" s="94"/>
      <c r="W97" s="94"/>
      <c r="X97" s="94"/>
      <c r="Y97" s="94"/>
      <c r="Z97" s="94"/>
    </row>
    <row r="98">
      <c r="A98" s="1"/>
      <c r="C98" s="44"/>
      <c r="E98" s="44"/>
      <c r="F98" s="94"/>
      <c r="G98" s="94"/>
      <c r="H98" s="94"/>
      <c r="I98" s="94"/>
      <c r="J98" s="94"/>
      <c r="K98" s="94"/>
      <c r="L98" s="94"/>
      <c r="M98" s="94"/>
      <c r="N98" s="94"/>
      <c r="O98" s="94"/>
      <c r="P98" s="94"/>
      <c r="Q98" s="94"/>
      <c r="R98" s="94"/>
      <c r="S98" s="94"/>
      <c r="T98" s="94"/>
      <c r="U98" s="94"/>
      <c r="V98" s="94"/>
      <c r="W98" s="94"/>
      <c r="X98" s="94"/>
      <c r="Y98" s="94"/>
      <c r="Z98" s="94"/>
    </row>
    <row r="99">
      <c r="A99" s="1"/>
      <c r="C99" s="44"/>
      <c r="E99" s="44"/>
      <c r="F99" s="94"/>
      <c r="G99" s="94"/>
      <c r="H99" s="94"/>
      <c r="I99" s="94"/>
      <c r="J99" s="94"/>
      <c r="K99" s="94"/>
      <c r="L99" s="94"/>
      <c r="M99" s="94"/>
      <c r="N99" s="94"/>
      <c r="O99" s="94"/>
      <c r="P99" s="94"/>
      <c r="Q99" s="94"/>
      <c r="R99" s="94"/>
      <c r="S99" s="94"/>
      <c r="T99" s="94"/>
      <c r="U99" s="94"/>
      <c r="V99" s="94"/>
      <c r="W99" s="94"/>
      <c r="X99" s="94"/>
      <c r="Y99" s="94"/>
      <c r="Z99" s="94"/>
    </row>
    <row r="100">
      <c r="A100" s="1"/>
      <c r="C100" s="44"/>
      <c r="E100" s="44"/>
      <c r="F100" s="94"/>
      <c r="G100" s="94"/>
      <c r="H100" s="94"/>
      <c r="I100" s="94"/>
      <c r="J100" s="94"/>
      <c r="K100" s="94"/>
      <c r="L100" s="94"/>
      <c r="M100" s="94"/>
      <c r="N100" s="94"/>
      <c r="O100" s="94"/>
      <c r="P100" s="94"/>
      <c r="Q100" s="94"/>
      <c r="R100" s="94"/>
      <c r="S100" s="94"/>
      <c r="T100" s="94"/>
      <c r="U100" s="94"/>
      <c r="V100" s="94"/>
      <c r="W100" s="94"/>
      <c r="X100" s="94"/>
      <c r="Y100" s="94"/>
      <c r="Z100" s="94"/>
    </row>
    <row r="101">
      <c r="A101" s="1"/>
      <c r="C101" s="44"/>
      <c r="E101" s="44"/>
      <c r="F101" s="94"/>
      <c r="G101" s="94"/>
      <c r="H101" s="94"/>
      <c r="I101" s="94"/>
      <c r="J101" s="94"/>
      <c r="K101" s="94"/>
      <c r="L101" s="94"/>
      <c r="M101" s="94"/>
      <c r="N101" s="94"/>
      <c r="O101" s="94"/>
      <c r="P101" s="94"/>
      <c r="Q101" s="94"/>
      <c r="R101" s="94"/>
      <c r="S101" s="94"/>
      <c r="T101" s="94"/>
      <c r="U101" s="94"/>
      <c r="V101" s="94"/>
      <c r="W101" s="94"/>
      <c r="X101" s="94"/>
      <c r="Y101" s="94"/>
      <c r="Z101" s="94"/>
    </row>
    <row r="102">
      <c r="A102" s="1"/>
      <c r="C102" s="44"/>
      <c r="E102" s="44"/>
      <c r="F102" s="94"/>
      <c r="G102" s="94"/>
      <c r="H102" s="94"/>
      <c r="I102" s="94"/>
      <c r="J102" s="94"/>
      <c r="K102" s="94"/>
      <c r="L102" s="94"/>
      <c r="M102" s="94"/>
      <c r="N102" s="94"/>
      <c r="O102" s="94"/>
      <c r="P102" s="94"/>
      <c r="Q102" s="94"/>
      <c r="R102" s="94"/>
      <c r="S102" s="94"/>
      <c r="T102" s="94"/>
      <c r="U102" s="94"/>
      <c r="V102" s="94"/>
      <c r="W102" s="94"/>
      <c r="X102" s="94"/>
      <c r="Y102" s="94"/>
      <c r="Z102" s="94"/>
    </row>
    <row r="103">
      <c r="A103" s="1"/>
      <c r="C103" s="44"/>
      <c r="E103" s="44"/>
      <c r="F103" s="94"/>
      <c r="G103" s="94"/>
      <c r="H103" s="94"/>
      <c r="I103" s="94"/>
      <c r="J103" s="94"/>
      <c r="K103" s="94"/>
      <c r="L103" s="94"/>
      <c r="M103" s="94"/>
      <c r="N103" s="94"/>
      <c r="O103" s="94"/>
      <c r="P103" s="94"/>
      <c r="Q103" s="94"/>
      <c r="R103" s="94"/>
      <c r="S103" s="94"/>
      <c r="T103" s="94"/>
      <c r="U103" s="94"/>
      <c r="V103" s="94"/>
      <c r="W103" s="94"/>
      <c r="X103" s="94"/>
      <c r="Y103" s="94"/>
      <c r="Z103" s="94"/>
    </row>
    <row r="104">
      <c r="A104" s="1"/>
      <c r="C104" s="44"/>
      <c r="E104" s="44"/>
      <c r="F104" s="94"/>
      <c r="G104" s="94"/>
      <c r="H104" s="94"/>
      <c r="I104" s="94"/>
      <c r="J104" s="94"/>
      <c r="K104" s="94"/>
      <c r="L104" s="94"/>
      <c r="M104" s="94"/>
      <c r="N104" s="94"/>
      <c r="O104" s="94"/>
      <c r="P104" s="94"/>
      <c r="Q104" s="94"/>
      <c r="R104" s="94"/>
      <c r="S104" s="94"/>
      <c r="T104" s="94"/>
      <c r="U104" s="94"/>
      <c r="V104" s="94"/>
      <c r="W104" s="94"/>
      <c r="X104" s="94"/>
      <c r="Y104" s="94"/>
      <c r="Z104" s="94"/>
    </row>
    <row r="105">
      <c r="A105" s="1"/>
      <c r="C105" s="44"/>
      <c r="E105" s="44"/>
      <c r="F105" s="94"/>
      <c r="G105" s="94"/>
      <c r="H105" s="94"/>
      <c r="I105" s="94"/>
      <c r="J105" s="94"/>
      <c r="K105" s="94"/>
      <c r="L105" s="94"/>
      <c r="M105" s="94"/>
      <c r="N105" s="94"/>
      <c r="O105" s="94"/>
      <c r="P105" s="94"/>
      <c r="Q105" s="94"/>
      <c r="R105" s="94"/>
      <c r="S105" s="94"/>
      <c r="T105" s="94"/>
      <c r="U105" s="94"/>
      <c r="V105" s="94"/>
      <c r="W105" s="94"/>
      <c r="X105" s="94"/>
      <c r="Y105" s="94"/>
      <c r="Z105" s="94"/>
    </row>
    <row r="106">
      <c r="A106" s="1"/>
      <c r="C106" s="44"/>
      <c r="E106" s="44"/>
      <c r="F106" s="94"/>
      <c r="G106" s="94"/>
      <c r="H106" s="94"/>
      <c r="I106" s="94"/>
      <c r="J106" s="94"/>
      <c r="K106" s="94"/>
      <c r="L106" s="94"/>
      <c r="M106" s="94"/>
      <c r="N106" s="94"/>
      <c r="O106" s="94"/>
      <c r="P106" s="94"/>
      <c r="Q106" s="94"/>
      <c r="R106" s="94"/>
      <c r="S106" s="94"/>
      <c r="T106" s="94"/>
      <c r="U106" s="94"/>
      <c r="V106" s="94"/>
      <c r="W106" s="94"/>
      <c r="X106" s="94"/>
      <c r="Y106" s="94"/>
      <c r="Z106" s="94"/>
    </row>
    <row r="107">
      <c r="A107" s="1"/>
      <c r="C107" s="44"/>
      <c r="E107" s="44"/>
      <c r="F107" s="94"/>
      <c r="G107" s="94"/>
      <c r="H107" s="94"/>
      <c r="I107" s="94"/>
      <c r="J107" s="94"/>
      <c r="K107" s="94"/>
      <c r="L107" s="94"/>
      <c r="M107" s="94"/>
      <c r="N107" s="94"/>
      <c r="O107" s="94"/>
      <c r="P107" s="94"/>
      <c r="Q107" s="94"/>
      <c r="R107" s="94"/>
      <c r="S107" s="94"/>
      <c r="T107" s="94"/>
      <c r="U107" s="94"/>
      <c r="V107" s="94"/>
      <c r="W107" s="94"/>
      <c r="X107" s="94"/>
      <c r="Y107" s="94"/>
      <c r="Z107" s="94"/>
    </row>
    <row r="108">
      <c r="A108" s="1"/>
      <c r="C108" s="44"/>
      <c r="E108" s="44"/>
      <c r="F108" s="94"/>
      <c r="G108" s="94"/>
      <c r="H108" s="94"/>
      <c r="I108" s="94"/>
      <c r="J108" s="94"/>
      <c r="K108" s="94"/>
      <c r="L108" s="94"/>
      <c r="M108" s="94"/>
      <c r="N108" s="94"/>
      <c r="O108" s="94"/>
      <c r="P108" s="94"/>
      <c r="Q108" s="94"/>
      <c r="R108" s="94"/>
      <c r="S108" s="94"/>
      <c r="T108" s="94"/>
      <c r="U108" s="94"/>
      <c r="V108" s="94"/>
      <c r="W108" s="94"/>
      <c r="X108" s="94"/>
      <c r="Y108" s="94"/>
      <c r="Z108" s="94"/>
    </row>
    <row r="109">
      <c r="A109" s="1"/>
      <c r="C109" s="44"/>
      <c r="E109" s="44"/>
      <c r="F109" s="94"/>
      <c r="G109" s="94"/>
      <c r="H109" s="94"/>
      <c r="I109" s="94"/>
      <c r="J109" s="94"/>
      <c r="K109" s="94"/>
      <c r="L109" s="94"/>
      <c r="M109" s="94"/>
      <c r="N109" s="94"/>
      <c r="O109" s="94"/>
      <c r="P109" s="94"/>
      <c r="Q109" s="94"/>
      <c r="R109" s="94"/>
      <c r="S109" s="94"/>
      <c r="T109" s="94"/>
      <c r="U109" s="94"/>
      <c r="V109" s="94"/>
      <c r="W109" s="94"/>
      <c r="X109" s="94"/>
      <c r="Y109" s="94"/>
      <c r="Z109" s="94"/>
    </row>
    <row r="110">
      <c r="A110" s="1"/>
      <c r="C110" s="44"/>
      <c r="E110" s="44"/>
      <c r="F110" s="94"/>
      <c r="G110" s="94"/>
      <c r="H110" s="94"/>
      <c r="I110" s="94"/>
      <c r="J110" s="94"/>
      <c r="K110" s="94"/>
      <c r="L110" s="94"/>
      <c r="M110" s="94"/>
      <c r="N110" s="94"/>
      <c r="O110" s="94"/>
      <c r="P110" s="94"/>
      <c r="Q110" s="94"/>
      <c r="R110" s="94"/>
      <c r="S110" s="94"/>
      <c r="T110" s="94"/>
      <c r="U110" s="94"/>
      <c r="V110" s="94"/>
      <c r="W110" s="94"/>
      <c r="X110" s="94"/>
      <c r="Y110" s="94"/>
      <c r="Z110" s="94"/>
    </row>
    <row r="111">
      <c r="A111" s="1"/>
      <c r="C111" s="44"/>
      <c r="E111" s="44"/>
      <c r="F111" s="94"/>
      <c r="G111" s="94"/>
      <c r="H111" s="94"/>
      <c r="I111" s="94"/>
      <c r="J111" s="94"/>
      <c r="K111" s="94"/>
      <c r="L111" s="94"/>
      <c r="M111" s="94"/>
      <c r="N111" s="94"/>
      <c r="O111" s="94"/>
      <c r="P111" s="94"/>
      <c r="Q111" s="94"/>
      <c r="R111" s="94"/>
      <c r="S111" s="94"/>
      <c r="T111" s="94"/>
      <c r="U111" s="94"/>
      <c r="V111" s="94"/>
      <c r="W111" s="94"/>
      <c r="X111" s="94"/>
      <c r="Y111" s="94"/>
      <c r="Z111" s="94"/>
    </row>
    <row r="112">
      <c r="A112" s="1"/>
      <c r="C112" s="44"/>
      <c r="E112" s="44"/>
      <c r="F112" s="94"/>
      <c r="G112" s="94"/>
      <c r="H112" s="94"/>
      <c r="I112" s="94"/>
      <c r="J112" s="94"/>
      <c r="K112" s="94"/>
      <c r="L112" s="94"/>
      <c r="M112" s="94"/>
      <c r="N112" s="94"/>
      <c r="O112" s="94"/>
      <c r="P112" s="94"/>
      <c r="Q112" s="94"/>
      <c r="R112" s="94"/>
      <c r="S112" s="94"/>
      <c r="T112" s="94"/>
      <c r="U112" s="94"/>
      <c r="V112" s="94"/>
      <c r="W112" s="94"/>
      <c r="X112" s="94"/>
      <c r="Y112" s="94"/>
      <c r="Z112" s="94"/>
    </row>
    <row r="113">
      <c r="A113" s="1"/>
      <c r="C113" s="44"/>
      <c r="E113" s="44"/>
      <c r="F113" s="94"/>
      <c r="G113" s="94"/>
      <c r="H113" s="94"/>
      <c r="I113" s="94"/>
      <c r="J113" s="94"/>
      <c r="K113" s="94"/>
      <c r="L113" s="94"/>
      <c r="M113" s="94"/>
      <c r="N113" s="94"/>
      <c r="O113" s="94"/>
      <c r="P113" s="94"/>
      <c r="Q113" s="94"/>
      <c r="R113" s="94"/>
      <c r="S113" s="94"/>
      <c r="T113" s="94"/>
      <c r="U113" s="94"/>
      <c r="V113" s="94"/>
      <c r="W113" s="94"/>
      <c r="X113" s="94"/>
      <c r="Y113" s="94"/>
      <c r="Z113" s="94"/>
    </row>
    <row r="114">
      <c r="A114" s="1"/>
      <c r="C114" s="44"/>
      <c r="E114" s="44"/>
      <c r="F114" s="94"/>
      <c r="G114" s="94"/>
      <c r="H114" s="94"/>
      <c r="I114" s="94"/>
      <c r="J114" s="94"/>
      <c r="K114" s="94"/>
      <c r="L114" s="94"/>
      <c r="M114" s="94"/>
      <c r="N114" s="94"/>
      <c r="O114" s="94"/>
      <c r="P114" s="94"/>
      <c r="Q114" s="94"/>
      <c r="R114" s="94"/>
      <c r="S114" s="94"/>
      <c r="T114" s="94"/>
      <c r="U114" s="94"/>
      <c r="V114" s="94"/>
      <c r="W114" s="94"/>
      <c r="X114" s="94"/>
      <c r="Y114" s="94"/>
      <c r="Z114" s="94"/>
    </row>
    <row r="115">
      <c r="A115" s="1"/>
      <c r="C115" s="44"/>
      <c r="E115" s="44"/>
      <c r="F115" s="94"/>
      <c r="G115" s="94"/>
      <c r="H115" s="94"/>
      <c r="I115" s="94"/>
      <c r="J115" s="94"/>
      <c r="K115" s="94"/>
      <c r="L115" s="94"/>
      <c r="M115" s="94"/>
      <c r="N115" s="94"/>
      <c r="O115" s="94"/>
      <c r="P115" s="94"/>
      <c r="Q115" s="94"/>
      <c r="R115" s="94"/>
      <c r="S115" s="94"/>
      <c r="T115" s="94"/>
      <c r="U115" s="94"/>
      <c r="V115" s="94"/>
      <c r="W115" s="94"/>
      <c r="X115" s="94"/>
      <c r="Y115" s="94"/>
      <c r="Z115" s="94"/>
    </row>
    <row r="116">
      <c r="A116" s="1"/>
      <c r="C116" s="44"/>
      <c r="E116" s="44"/>
      <c r="F116" s="94"/>
      <c r="G116" s="94"/>
      <c r="H116" s="94"/>
      <c r="I116" s="94"/>
      <c r="J116" s="94"/>
      <c r="K116" s="94"/>
      <c r="L116" s="94"/>
      <c r="M116" s="94"/>
      <c r="N116" s="94"/>
      <c r="O116" s="94"/>
      <c r="P116" s="94"/>
      <c r="Q116" s="94"/>
      <c r="R116" s="94"/>
      <c r="S116" s="94"/>
      <c r="T116" s="94"/>
      <c r="U116" s="94"/>
      <c r="V116" s="94"/>
      <c r="W116" s="94"/>
      <c r="X116" s="94"/>
      <c r="Y116" s="94"/>
      <c r="Z116" s="94"/>
    </row>
    <row r="117">
      <c r="A117" s="1"/>
      <c r="C117" s="44"/>
      <c r="E117" s="44"/>
      <c r="F117" s="94"/>
      <c r="G117" s="94"/>
      <c r="H117" s="94"/>
      <c r="I117" s="94"/>
      <c r="J117" s="94"/>
      <c r="K117" s="94"/>
      <c r="L117" s="94"/>
      <c r="M117" s="94"/>
      <c r="N117" s="94"/>
      <c r="O117" s="94"/>
      <c r="P117" s="94"/>
      <c r="Q117" s="94"/>
      <c r="R117" s="94"/>
      <c r="S117" s="94"/>
      <c r="T117" s="94"/>
      <c r="U117" s="94"/>
      <c r="V117" s="94"/>
      <c r="W117" s="94"/>
      <c r="X117" s="94"/>
      <c r="Y117" s="94"/>
      <c r="Z117" s="94"/>
    </row>
    <row r="118">
      <c r="A118" s="1"/>
      <c r="C118" s="44"/>
      <c r="E118" s="44"/>
      <c r="F118" s="94"/>
      <c r="G118" s="94"/>
      <c r="H118" s="94"/>
      <c r="I118" s="94"/>
      <c r="J118" s="94"/>
      <c r="K118" s="94"/>
      <c r="L118" s="94"/>
      <c r="M118" s="94"/>
      <c r="N118" s="94"/>
      <c r="O118" s="94"/>
      <c r="P118" s="94"/>
      <c r="Q118" s="94"/>
      <c r="R118" s="94"/>
      <c r="S118" s="94"/>
      <c r="T118" s="94"/>
      <c r="U118" s="94"/>
      <c r="V118" s="94"/>
      <c r="W118" s="94"/>
      <c r="X118" s="94"/>
      <c r="Y118" s="94"/>
      <c r="Z118" s="94"/>
    </row>
    <row r="119">
      <c r="A119" s="1"/>
      <c r="C119" s="44"/>
      <c r="E119" s="44"/>
      <c r="F119" s="94"/>
      <c r="G119" s="94"/>
      <c r="H119" s="94"/>
      <c r="I119" s="94"/>
      <c r="J119" s="94"/>
      <c r="K119" s="94"/>
      <c r="L119" s="94"/>
      <c r="M119" s="94"/>
      <c r="N119" s="94"/>
      <c r="O119" s="94"/>
      <c r="P119" s="94"/>
      <c r="Q119" s="94"/>
      <c r="R119" s="94"/>
      <c r="S119" s="94"/>
      <c r="T119" s="94"/>
      <c r="U119" s="94"/>
      <c r="V119" s="94"/>
      <c r="W119" s="94"/>
      <c r="X119" s="94"/>
      <c r="Y119" s="94"/>
      <c r="Z119" s="94"/>
    </row>
    <row r="120">
      <c r="A120" s="1"/>
      <c r="C120" s="44"/>
      <c r="E120" s="44"/>
      <c r="F120" s="94"/>
      <c r="G120" s="94"/>
      <c r="H120" s="94"/>
      <c r="I120" s="94"/>
      <c r="J120" s="94"/>
      <c r="K120" s="94"/>
      <c r="L120" s="94"/>
      <c r="M120" s="94"/>
      <c r="N120" s="94"/>
      <c r="O120" s="94"/>
      <c r="P120" s="94"/>
      <c r="Q120" s="94"/>
      <c r="R120" s="94"/>
      <c r="S120" s="94"/>
      <c r="T120" s="94"/>
      <c r="U120" s="94"/>
      <c r="V120" s="94"/>
      <c r="W120" s="94"/>
      <c r="X120" s="94"/>
      <c r="Y120" s="94"/>
      <c r="Z120" s="94"/>
    </row>
    <row r="121">
      <c r="A121" s="1"/>
      <c r="C121" s="44"/>
      <c r="E121" s="44"/>
      <c r="F121" s="94"/>
      <c r="G121" s="94"/>
      <c r="H121" s="94"/>
      <c r="I121" s="94"/>
      <c r="J121" s="94"/>
      <c r="K121" s="94"/>
      <c r="L121" s="94"/>
      <c r="M121" s="94"/>
      <c r="N121" s="94"/>
      <c r="O121" s="94"/>
      <c r="P121" s="94"/>
      <c r="Q121" s="94"/>
      <c r="R121" s="94"/>
      <c r="S121" s="94"/>
      <c r="T121" s="94"/>
      <c r="U121" s="94"/>
      <c r="V121" s="94"/>
      <c r="W121" s="94"/>
      <c r="X121" s="94"/>
      <c r="Y121" s="94"/>
      <c r="Z121" s="94"/>
    </row>
    <row r="122">
      <c r="A122" s="1"/>
      <c r="C122" s="44"/>
      <c r="E122" s="44"/>
      <c r="F122" s="94"/>
      <c r="G122" s="94"/>
      <c r="H122" s="94"/>
      <c r="I122" s="94"/>
      <c r="J122" s="94"/>
      <c r="K122" s="94"/>
      <c r="L122" s="94"/>
      <c r="M122" s="94"/>
      <c r="N122" s="94"/>
      <c r="O122" s="94"/>
      <c r="P122" s="94"/>
      <c r="Q122" s="94"/>
      <c r="R122" s="94"/>
      <c r="S122" s="94"/>
      <c r="T122" s="94"/>
      <c r="U122" s="94"/>
      <c r="V122" s="94"/>
      <c r="W122" s="94"/>
      <c r="X122" s="94"/>
      <c r="Y122" s="94"/>
      <c r="Z122" s="94"/>
    </row>
    <row r="123">
      <c r="A123" s="1"/>
      <c r="C123" s="44"/>
      <c r="E123" s="44"/>
      <c r="F123" s="94"/>
      <c r="G123" s="94"/>
      <c r="H123" s="94"/>
      <c r="I123" s="94"/>
      <c r="J123" s="94"/>
      <c r="K123" s="94"/>
      <c r="L123" s="94"/>
      <c r="M123" s="94"/>
      <c r="N123" s="94"/>
      <c r="O123" s="94"/>
      <c r="P123" s="94"/>
      <c r="Q123" s="94"/>
      <c r="R123" s="94"/>
      <c r="S123" s="94"/>
      <c r="T123" s="94"/>
      <c r="U123" s="94"/>
      <c r="V123" s="94"/>
      <c r="W123" s="94"/>
      <c r="X123" s="94"/>
      <c r="Y123" s="94"/>
      <c r="Z123" s="94"/>
    </row>
    <row r="124">
      <c r="A124" s="1"/>
      <c r="C124" s="44"/>
      <c r="E124" s="44"/>
      <c r="F124" s="94"/>
      <c r="G124" s="94"/>
      <c r="H124" s="94"/>
      <c r="I124" s="94"/>
      <c r="J124" s="94"/>
      <c r="K124" s="94"/>
      <c r="L124" s="94"/>
      <c r="M124" s="94"/>
      <c r="N124" s="94"/>
      <c r="O124" s="94"/>
      <c r="P124" s="94"/>
      <c r="Q124" s="94"/>
      <c r="R124" s="94"/>
      <c r="S124" s="94"/>
      <c r="T124" s="94"/>
      <c r="U124" s="94"/>
      <c r="V124" s="94"/>
      <c r="W124" s="94"/>
      <c r="X124" s="94"/>
      <c r="Y124" s="94"/>
      <c r="Z124" s="94"/>
    </row>
    <row r="125">
      <c r="A125" s="1"/>
      <c r="C125" s="44"/>
      <c r="E125" s="44"/>
      <c r="F125" s="94"/>
      <c r="G125" s="94"/>
      <c r="H125" s="94"/>
      <c r="I125" s="94"/>
      <c r="J125" s="94"/>
      <c r="K125" s="94"/>
      <c r="L125" s="94"/>
      <c r="M125" s="94"/>
      <c r="N125" s="94"/>
      <c r="O125" s="94"/>
      <c r="P125" s="94"/>
      <c r="Q125" s="94"/>
      <c r="R125" s="94"/>
      <c r="S125" s="94"/>
      <c r="T125" s="94"/>
      <c r="U125" s="94"/>
      <c r="V125" s="94"/>
      <c r="W125" s="94"/>
      <c r="X125" s="94"/>
      <c r="Y125" s="94"/>
      <c r="Z125" s="94"/>
    </row>
    <row r="126">
      <c r="A126" s="1"/>
      <c r="C126" s="44"/>
      <c r="E126" s="44"/>
      <c r="F126" s="94"/>
      <c r="G126" s="94"/>
      <c r="H126" s="94"/>
      <c r="I126" s="94"/>
      <c r="J126" s="94"/>
      <c r="K126" s="94"/>
      <c r="L126" s="94"/>
      <c r="M126" s="94"/>
      <c r="N126" s="94"/>
      <c r="O126" s="94"/>
      <c r="P126" s="94"/>
      <c r="Q126" s="94"/>
      <c r="R126" s="94"/>
      <c r="S126" s="94"/>
      <c r="T126" s="94"/>
      <c r="U126" s="94"/>
      <c r="V126" s="94"/>
      <c r="W126" s="94"/>
      <c r="X126" s="94"/>
      <c r="Y126" s="94"/>
      <c r="Z126" s="94"/>
    </row>
    <row r="127">
      <c r="A127" s="1"/>
      <c r="C127" s="44"/>
      <c r="E127" s="44"/>
      <c r="F127" s="94"/>
      <c r="G127" s="94"/>
      <c r="H127" s="94"/>
      <c r="I127" s="94"/>
      <c r="J127" s="94"/>
      <c r="K127" s="94"/>
      <c r="L127" s="94"/>
      <c r="M127" s="94"/>
      <c r="N127" s="94"/>
      <c r="O127" s="94"/>
      <c r="P127" s="94"/>
      <c r="Q127" s="94"/>
      <c r="R127" s="94"/>
      <c r="S127" s="94"/>
      <c r="T127" s="94"/>
      <c r="U127" s="94"/>
      <c r="V127" s="94"/>
      <c r="W127" s="94"/>
      <c r="X127" s="94"/>
      <c r="Y127" s="94"/>
      <c r="Z127" s="94"/>
    </row>
    <row r="128">
      <c r="A128" s="1"/>
      <c r="C128" s="44"/>
      <c r="E128" s="44"/>
      <c r="F128" s="94"/>
      <c r="G128" s="94"/>
      <c r="H128" s="94"/>
      <c r="I128" s="94"/>
      <c r="J128" s="94"/>
      <c r="K128" s="94"/>
      <c r="L128" s="94"/>
      <c r="M128" s="94"/>
      <c r="N128" s="94"/>
      <c r="O128" s="94"/>
      <c r="P128" s="94"/>
      <c r="Q128" s="94"/>
      <c r="R128" s="94"/>
      <c r="S128" s="94"/>
      <c r="T128" s="94"/>
      <c r="U128" s="94"/>
      <c r="V128" s="94"/>
      <c r="W128" s="94"/>
      <c r="X128" s="94"/>
      <c r="Y128" s="94"/>
      <c r="Z128" s="94"/>
    </row>
    <row r="129">
      <c r="A129" s="1"/>
      <c r="C129" s="44"/>
      <c r="E129" s="44"/>
      <c r="F129" s="94"/>
      <c r="G129" s="94"/>
      <c r="H129" s="94"/>
      <c r="I129" s="94"/>
      <c r="J129" s="94"/>
      <c r="K129" s="94"/>
      <c r="L129" s="94"/>
      <c r="M129" s="94"/>
      <c r="N129" s="94"/>
      <c r="O129" s="94"/>
      <c r="P129" s="94"/>
      <c r="Q129" s="94"/>
      <c r="R129" s="94"/>
      <c r="S129" s="94"/>
      <c r="T129" s="94"/>
      <c r="U129" s="94"/>
      <c r="V129" s="94"/>
      <c r="W129" s="94"/>
      <c r="X129" s="94"/>
      <c r="Y129" s="94"/>
      <c r="Z129" s="94"/>
    </row>
    <row r="130">
      <c r="A130" s="1"/>
      <c r="C130" s="44"/>
      <c r="E130" s="44"/>
      <c r="F130" s="94"/>
      <c r="G130" s="94"/>
      <c r="H130" s="94"/>
      <c r="I130" s="94"/>
      <c r="J130" s="94"/>
      <c r="K130" s="94"/>
      <c r="L130" s="94"/>
      <c r="M130" s="94"/>
      <c r="N130" s="94"/>
      <c r="O130" s="94"/>
      <c r="P130" s="94"/>
      <c r="Q130" s="94"/>
      <c r="R130" s="94"/>
      <c r="S130" s="94"/>
      <c r="T130" s="94"/>
      <c r="U130" s="94"/>
      <c r="V130" s="94"/>
      <c r="W130" s="94"/>
      <c r="X130" s="94"/>
      <c r="Y130" s="94"/>
      <c r="Z130" s="94"/>
    </row>
    <row r="131">
      <c r="A131" s="1"/>
      <c r="C131" s="44"/>
      <c r="E131" s="44"/>
      <c r="F131" s="94"/>
      <c r="G131" s="94"/>
      <c r="H131" s="94"/>
      <c r="I131" s="94"/>
      <c r="J131" s="94"/>
      <c r="K131" s="94"/>
      <c r="L131" s="94"/>
      <c r="M131" s="94"/>
      <c r="N131" s="94"/>
      <c r="O131" s="94"/>
      <c r="P131" s="94"/>
      <c r="Q131" s="94"/>
      <c r="R131" s="94"/>
      <c r="S131" s="94"/>
      <c r="T131" s="94"/>
      <c r="U131" s="94"/>
      <c r="V131" s="94"/>
      <c r="W131" s="94"/>
      <c r="X131" s="94"/>
      <c r="Y131" s="94"/>
      <c r="Z131" s="94"/>
    </row>
    <row r="132">
      <c r="A132" s="1"/>
      <c r="C132" s="44"/>
      <c r="E132" s="44"/>
      <c r="F132" s="94"/>
      <c r="G132" s="94"/>
      <c r="H132" s="94"/>
      <c r="I132" s="94"/>
      <c r="J132" s="94"/>
      <c r="K132" s="94"/>
      <c r="L132" s="94"/>
      <c r="M132" s="94"/>
      <c r="N132" s="94"/>
      <c r="O132" s="94"/>
      <c r="P132" s="94"/>
      <c r="Q132" s="94"/>
      <c r="R132" s="94"/>
      <c r="S132" s="94"/>
      <c r="T132" s="94"/>
      <c r="U132" s="94"/>
      <c r="V132" s="94"/>
      <c r="W132" s="94"/>
      <c r="X132" s="94"/>
      <c r="Y132" s="94"/>
      <c r="Z132" s="94"/>
    </row>
    <row r="133">
      <c r="A133" s="1"/>
      <c r="C133" s="44"/>
      <c r="E133" s="44"/>
      <c r="F133" s="94"/>
      <c r="G133" s="94"/>
      <c r="H133" s="94"/>
      <c r="I133" s="94"/>
      <c r="J133" s="94"/>
      <c r="K133" s="94"/>
      <c r="L133" s="94"/>
      <c r="M133" s="94"/>
      <c r="N133" s="94"/>
      <c r="O133" s="94"/>
      <c r="P133" s="94"/>
      <c r="Q133" s="94"/>
      <c r="R133" s="94"/>
      <c r="S133" s="94"/>
      <c r="T133" s="94"/>
      <c r="U133" s="94"/>
      <c r="V133" s="94"/>
      <c r="W133" s="94"/>
      <c r="X133" s="94"/>
      <c r="Y133" s="94"/>
      <c r="Z133" s="94"/>
    </row>
    <row r="134">
      <c r="A134" s="1"/>
      <c r="C134" s="44"/>
      <c r="E134" s="44"/>
      <c r="F134" s="94"/>
      <c r="G134" s="94"/>
      <c r="H134" s="94"/>
      <c r="I134" s="94"/>
      <c r="J134" s="94"/>
      <c r="K134" s="94"/>
      <c r="L134" s="94"/>
      <c r="M134" s="94"/>
      <c r="N134" s="94"/>
      <c r="O134" s="94"/>
      <c r="P134" s="94"/>
      <c r="Q134" s="94"/>
      <c r="R134" s="94"/>
      <c r="S134" s="94"/>
      <c r="T134" s="94"/>
      <c r="U134" s="94"/>
      <c r="V134" s="94"/>
      <c r="W134" s="94"/>
      <c r="X134" s="94"/>
      <c r="Y134" s="94"/>
      <c r="Z134" s="94"/>
    </row>
    <row r="135">
      <c r="A135" s="1"/>
      <c r="C135" s="44"/>
      <c r="E135" s="44"/>
      <c r="F135" s="94"/>
      <c r="G135" s="94"/>
      <c r="H135" s="94"/>
      <c r="I135" s="94"/>
      <c r="J135" s="94"/>
      <c r="K135" s="94"/>
      <c r="L135" s="94"/>
      <c r="M135" s="94"/>
      <c r="N135" s="94"/>
      <c r="O135" s="94"/>
      <c r="P135" s="94"/>
      <c r="Q135" s="94"/>
      <c r="R135" s="94"/>
      <c r="S135" s="94"/>
      <c r="T135" s="94"/>
      <c r="U135" s="94"/>
      <c r="V135" s="94"/>
      <c r="W135" s="94"/>
      <c r="X135" s="94"/>
      <c r="Y135" s="94"/>
      <c r="Z135" s="94"/>
    </row>
    <row r="136">
      <c r="A136" s="1"/>
      <c r="C136" s="44"/>
      <c r="E136" s="44"/>
      <c r="F136" s="94"/>
      <c r="G136" s="94"/>
      <c r="H136" s="94"/>
      <c r="I136" s="94"/>
      <c r="J136" s="94"/>
      <c r="K136" s="94"/>
      <c r="L136" s="94"/>
      <c r="M136" s="94"/>
      <c r="N136" s="94"/>
      <c r="O136" s="94"/>
      <c r="P136" s="94"/>
      <c r="Q136" s="94"/>
      <c r="R136" s="94"/>
      <c r="S136" s="94"/>
      <c r="T136" s="94"/>
      <c r="U136" s="94"/>
      <c r="V136" s="94"/>
      <c r="W136" s="94"/>
      <c r="X136" s="94"/>
      <c r="Y136" s="94"/>
      <c r="Z136" s="94"/>
    </row>
    <row r="137">
      <c r="A137" s="1"/>
      <c r="C137" s="44"/>
      <c r="E137" s="44"/>
      <c r="F137" s="94"/>
      <c r="G137" s="94"/>
      <c r="H137" s="94"/>
      <c r="I137" s="94"/>
      <c r="J137" s="94"/>
      <c r="K137" s="94"/>
      <c r="L137" s="94"/>
      <c r="M137" s="94"/>
      <c r="N137" s="94"/>
      <c r="O137" s="94"/>
      <c r="P137" s="94"/>
      <c r="Q137" s="94"/>
      <c r="R137" s="94"/>
      <c r="S137" s="94"/>
      <c r="T137" s="94"/>
      <c r="U137" s="94"/>
      <c r="V137" s="94"/>
      <c r="W137" s="94"/>
      <c r="X137" s="94"/>
      <c r="Y137" s="94"/>
      <c r="Z137" s="94"/>
    </row>
    <row r="138">
      <c r="A138" s="1"/>
      <c r="C138" s="44"/>
      <c r="E138" s="44"/>
      <c r="F138" s="94"/>
      <c r="G138" s="94"/>
      <c r="H138" s="94"/>
      <c r="I138" s="94"/>
      <c r="J138" s="94"/>
      <c r="K138" s="94"/>
      <c r="L138" s="94"/>
      <c r="M138" s="94"/>
      <c r="N138" s="94"/>
      <c r="O138" s="94"/>
      <c r="P138" s="94"/>
      <c r="Q138" s="94"/>
      <c r="R138" s="94"/>
      <c r="S138" s="94"/>
      <c r="T138" s="94"/>
      <c r="U138" s="94"/>
      <c r="V138" s="94"/>
      <c r="W138" s="94"/>
      <c r="X138" s="94"/>
      <c r="Y138" s="94"/>
      <c r="Z138" s="94"/>
    </row>
    <row r="139">
      <c r="A139" s="1"/>
      <c r="C139" s="44"/>
      <c r="E139" s="44"/>
      <c r="F139" s="94"/>
      <c r="G139" s="94"/>
      <c r="H139" s="94"/>
      <c r="I139" s="94"/>
      <c r="J139" s="94"/>
      <c r="K139" s="94"/>
      <c r="L139" s="94"/>
      <c r="M139" s="94"/>
      <c r="N139" s="94"/>
      <c r="O139" s="94"/>
      <c r="P139" s="94"/>
      <c r="Q139" s="94"/>
      <c r="R139" s="94"/>
      <c r="S139" s="94"/>
      <c r="T139" s="94"/>
      <c r="U139" s="94"/>
      <c r="V139" s="94"/>
      <c r="W139" s="94"/>
      <c r="X139" s="94"/>
      <c r="Y139" s="94"/>
      <c r="Z139" s="94"/>
    </row>
    <row r="140">
      <c r="A140" s="1"/>
      <c r="C140" s="44"/>
      <c r="E140" s="44"/>
      <c r="F140" s="94"/>
      <c r="G140" s="94"/>
      <c r="H140" s="94"/>
      <c r="I140" s="94"/>
      <c r="J140" s="94"/>
      <c r="K140" s="94"/>
      <c r="L140" s="94"/>
      <c r="M140" s="94"/>
      <c r="N140" s="94"/>
      <c r="O140" s="94"/>
      <c r="P140" s="94"/>
      <c r="Q140" s="94"/>
      <c r="R140" s="94"/>
      <c r="S140" s="94"/>
      <c r="T140" s="94"/>
      <c r="U140" s="94"/>
      <c r="V140" s="94"/>
      <c r="W140" s="94"/>
      <c r="X140" s="94"/>
      <c r="Y140" s="94"/>
      <c r="Z140" s="94"/>
    </row>
    <row r="141">
      <c r="A141" s="1"/>
      <c r="C141" s="44"/>
      <c r="E141" s="44"/>
      <c r="F141" s="94"/>
      <c r="G141" s="94"/>
      <c r="H141" s="94"/>
      <c r="I141" s="94"/>
      <c r="J141" s="94"/>
      <c r="K141" s="94"/>
      <c r="L141" s="94"/>
      <c r="M141" s="94"/>
      <c r="N141" s="94"/>
      <c r="O141" s="94"/>
      <c r="P141" s="94"/>
      <c r="Q141" s="94"/>
      <c r="R141" s="94"/>
      <c r="S141" s="94"/>
      <c r="T141" s="94"/>
      <c r="U141" s="94"/>
      <c r="V141" s="94"/>
      <c r="W141" s="94"/>
      <c r="X141" s="94"/>
      <c r="Y141" s="94"/>
      <c r="Z141" s="94"/>
    </row>
    <row r="142">
      <c r="A142" s="1"/>
      <c r="C142" s="44"/>
      <c r="E142" s="44"/>
      <c r="F142" s="94"/>
      <c r="G142" s="94"/>
      <c r="H142" s="94"/>
      <c r="I142" s="94"/>
      <c r="J142" s="94"/>
      <c r="K142" s="94"/>
      <c r="L142" s="94"/>
      <c r="M142" s="94"/>
      <c r="N142" s="94"/>
      <c r="O142" s="94"/>
      <c r="P142" s="94"/>
      <c r="Q142" s="94"/>
      <c r="R142" s="94"/>
      <c r="S142" s="94"/>
      <c r="T142" s="94"/>
      <c r="U142" s="94"/>
      <c r="V142" s="94"/>
      <c r="W142" s="94"/>
      <c r="X142" s="94"/>
      <c r="Y142" s="94"/>
      <c r="Z142" s="94"/>
    </row>
    <row r="143">
      <c r="A143" s="1"/>
      <c r="C143" s="44"/>
      <c r="E143" s="44"/>
      <c r="F143" s="94"/>
      <c r="G143" s="94"/>
      <c r="H143" s="94"/>
      <c r="I143" s="94"/>
      <c r="J143" s="94"/>
      <c r="K143" s="94"/>
      <c r="L143" s="94"/>
      <c r="M143" s="94"/>
      <c r="N143" s="94"/>
      <c r="O143" s="94"/>
      <c r="P143" s="94"/>
      <c r="Q143" s="94"/>
      <c r="R143" s="94"/>
      <c r="S143" s="94"/>
      <c r="T143" s="94"/>
      <c r="U143" s="94"/>
      <c r="V143" s="94"/>
      <c r="W143" s="94"/>
      <c r="X143" s="94"/>
      <c r="Y143" s="94"/>
      <c r="Z143" s="94"/>
    </row>
    <row r="144">
      <c r="A144" s="1"/>
      <c r="C144" s="44"/>
      <c r="E144" s="44"/>
      <c r="F144" s="94"/>
      <c r="G144" s="94"/>
      <c r="H144" s="94"/>
      <c r="I144" s="94"/>
      <c r="J144" s="94"/>
      <c r="K144" s="94"/>
      <c r="L144" s="94"/>
      <c r="M144" s="94"/>
      <c r="N144" s="94"/>
      <c r="O144" s="94"/>
      <c r="P144" s="94"/>
      <c r="Q144" s="94"/>
      <c r="R144" s="94"/>
      <c r="S144" s="94"/>
      <c r="T144" s="94"/>
      <c r="U144" s="94"/>
      <c r="V144" s="94"/>
      <c r="W144" s="94"/>
      <c r="X144" s="94"/>
      <c r="Y144" s="94"/>
      <c r="Z144" s="94"/>
    </row>
    <row r="145">
      <c r="A145" s="1"/>
      <c r="C145" s="44"/>
      <c r="E145" s="44"/>
      <c r="F145" s="94"/>
      <c r="G145" s="94"/>
      <c r="H145" s="94"/>
      <c r="I145" s="94"/>
      <c r="J145" s="94"/>
      <c r="K145" s="94"/>
      <c r="L145" s="94"/>
      <c r="M145" s="94"/>
      <c r="N145" s="94"/>
      <c r="O145" s="94"/>
      <c r="P145" s="94"/>
      <c r="Q145" s="94"/>
      <c r="R145" s="94"/>
      <c r="S145" s="94"/>
      <c r="T145" s="94"/>
      <c r="U145" s="94"/>
      <c r="V145" s="94"/>
      <c r="W145" s="94"/>
      <c r="X145" s="94"/>
      <c r="Y145" s="94"/>
      <c r="Z145" s="94"/>
    </row>
    <row r="146">
      <c r="A146" s="1"/>
      <c r="C146" s="44"/>
      <c r="E146" s="44"/>
      <c r="F146" s="94"/>
      <c r="G146" s="94"/>
      <c r="H146" s="94"/>
      <c r="I146" s="94"/>
      <c r="J146" s="94"/>
      <c r="K146" s="94"/>
      <c r="L146" s="94"/>
      <c r="M146" s="94"/>
      <c r="N146" s="94"/>
      <c r="O146" s="94"/>
      <c r="P146" s="94"/>
      <c r="Q146" s="94"/>
      <c r="R146" s="94"/>
      <c r="S146" s="94"/>
      <c r="T146" s="94"/>
      <c r="U146" s="94"/>
      <c r="V146" s="94"/>
      <c r="W146" s="94"/>
      <c r="X146" s="94"/>
      <c r="Y146" s="94"/>
      <c r="Z146" s="94"/>
    </row>
    <row r="147">
      <c r="A147" s="1"/>
      <c r="C147" s="44"/>
      <c r="E147" s="44"/>
      <c r="F147" s="94"/>
      <c r="G147" s="94"/>
      <c r="H147" s="94"/>
      <c r="I147" s="94"/>
      <c r="J147" s="94"/>
      <c r="K147" s="94"/>
      <c r="L147" s="94"/>
      <c r="M147" s="94"/>
      <c r="N147" s="94"/>
      <c r="O147" s="94"/>
      <c r="P147" s="94"/>
      <c r="Q147" s="94"/>
      <c r="R147" s="94"/>
      <c r="S147" s="94"/>
      <c r="T147" s="94"/>
      <c r="U147" s="94"/>
      <c r="V147" s="94"/>
      <c r="W147" s="94"/>
      <c r="X147" s="94"/>
      <c r="Y147" s="94"/>
      <c r="Z147" s="94"/>
    </row>
    <row r="148">
      <c r="A148" s="1"/>
      <c r="C148" s="44"/>
      <c r="E148" s="44"/>
      <c r="F148" s="94"/>
      <c r="G148" s="94"/>
      <c r="H148" s="94"/>
      <c r="I148" s="94"/>
      <c r="J148" s="94"/>
      <c r="K148" s="94"/>
      <c r="L148" s="94"/>
      <c r="M148" s="94"/>
      <c r="N148" s="94"/>
      <c r="O148" s="94"/>
      <c r="P148" s="94"/>
      <c r="Q148" s="94"/>
      <c r="R148" s="94"/>
      <c r="S148" s="94"/>
      <c r="T148" s="94"/>
      <c r="U148" s="94"/>
      <c r="V148" s="94"/>
      <c r="W148" s="94"/>
      <c r="X148" s="94"/>
      <c r="Y148" s="94"/>
      <c r="Z148" s="94"/>
    </row>
    <row r="149">
      <c r="A149" s="1"/>
      <c r="C149" s="44"/>
      <c r="E149" s="44"/>
      <c r="F149" s="94"/>
      <c r="G149" s="94"/>
      <c r="H149" s="94"/>
      <c r="I149" s="94"/>
      <c r="J149" s="94"/>
      <c r="K149" s="94"/>
      <c r="L149" s="94"/>
      <c r="M149" s="94"/>
      <c r="N149" s="94"/>
      <c r="O149" s="94"/>
      <c r="P149" s="94"/>
      <c r="Q149" s="94"/>
      <c r="R149" s="94"/>
      <c r="S149" s="94"/>
      <c r="T149" s="94"/>
      <c r="U149" s="94"/>
      <c r="V149" s="94"/>
      <c r="W149" s="94"/>
      <c r="X149" s="94"/>
      <c r="Y149" s="94"/>
      <c r="Z149" s="94"/>
    </row>
    <row r="150">
      <c r="A150" s="1"/>
      <c r="C150" s="44"/>
      <c r="E150" s="44"/>
      <c r="F150" s="94"/>
      <c r="G150" s="94"/>
      <c r="H150" s="94"/>
      <c r="I150" s="94"/>
      <c r="J150" s="94"/>
      <c r="K150" s="94"/>
      <c r="L150" s="94"/>
      <c r="M150" s="94"/>
      <c r="N150" s="94"/>
      <c r="O150" s="94"/>
      <c r="P150" s="94"/>
      <c r="Q150" s="94"/>
      <c r="R150" s="94"/>
      <c r="S150" s="94"/>
      <c r="T150" s="94"/>
      <c r="U150" s="94"/>
      <c r="V150" s="94"/>
      <c r="W150" s="94"/>
      <c r="X150" s="94"/>
      <c r="Y150" s="94"/>
      <c r="Z150" s="94"/>
    </row>
    <row r="151">
      <c r="A151" s="1"/>
      <c r="C151" s="44"/>
      <c r="E151" s="44"/>
      <c r="F151" s="94"/>
      <c r="G151" s="94"/>
      <c r="H151" s="94"/>
      <c r="I151" s="94"/>
      <c r="J151" s="94"/>
      <c r="K151" s="94"/>
      <c r="L151" s="94"/>
      <c r="M151" s="94"/>
      <c r="N151" s="94"/>
      <c r="O151" s="94"/>
      <c r="P151" s="94"/>
      <c r="Q151" s="94"/>
      <c r="R151" s="94"/>
      <c r="S151" s="94"/>
      <c r="T151" s="94"/>
      <c r="U151" s="94"/>
      <c r="V151" s="94"/>
      <c r="W151" s="94"/>
      <c r="X151" s="94"/>
      <c r="Y151" s="94"/>
      <c r="Z151" s="94"/>
    </row>
    <row r="152">
      <c r="A152" s="1"/>
      <c r="C152" s="44"/>
      <c r="E152" s="44"/>
      <c r="F152" s="94"/>
      <c r="G152" s="94"/>
      <c r="H152" s="94"/>
      <c r="I152" s="94"/>
      <c r="J152" s="94"/>
      <c r="K152" s="94"/>
      <c r="L152" s="94"/>
      <c r="M152" s="94"/>
      <c r="N152" s="94"/>
      <c r="O152" s="94"/>
      <c r="P152" s="94"/>
      <c r="Q152" s="94"/>
      <c r="R152" s="94"/>
      <c r="S152" s="94"/>
      <c r="T152" s="94"/>
      <c r="U152" s="94"/>
      <c r="V152" s="94"/>
      <c r="W152" s="94"/>
      <c r="X152" s="94"/>
      <c r="Y152" s="94"/>
      <c r="Z152" s="94"/>
    </row>
    <row r="153">
      <c r="A153" s="1"/>
      <c r="C153" s="44"/>
      <c r="E153" s="44"/>
      <c r="F153" s="94"/>
      <c r="G153" s="94"/>
      <c r="H153" s="94"/>
      <c r="I153" s="94"/>
      <c r="J153" s="94"/>
      <c r="K153" s="94"/>
      <c r="L153" s="94"/>
      <c r="M153" s="94"/>
      <c r="N153" s="94"/>
      <c r="O153" s="94"/>
      <c r="P153" s="94"/>
      <c r="Q153" s="94"/>
      <c r="R153" s="94"/>
      <c r="S153" s="94"/>
      <c r="T153" s="94"/>
      <c r="U153" s="94"/>
      <c r="V153" s="94"/>
      <c r="W153" s="94"/>
      <c r="X153" s="94"/>
      <c r="Y153" s="94"/>
      <c r="Z153" s="94"/>
    </row>
    <row r="154">
      <c r="A154" s="1"/>
      <c r="C154" s="44"/>
      <c r="E154" s="44"/>
      <c r="F154" s="94"/>
      <c r="G154" s="94"/>
      <c r="H154" s="94"/>
      <c r="I154" s="94"/>
      <c r="J154" s="94"/>
      <c r="K154" s="94"/>
      <c r="L154" s="94"/>
      <c r="M154" s="94"/>
      <c r="N154" s="94"/>
      <c r="O154" s="94"/>
      <c r="P154" s="94"/>
      <c r="Q154" s="94"/>
      <c r="R154" s="94"/>
      <c r="S154" s="94"/>
      <c r="T154" s="94"/>
      <c r="U154" s="94"/>
      <c r="V154" s="94"/>
      <c r="W154" s="94"/>
      <c r="X154" s="94"/>
      <c r="Y154" s="94"/>
      <c r="Z154" s="94"/>
    </row>
    <row r="155">
      <c r="A155" s="1"/>
      <c r="C155" s="44"/>
      <c r="E155" s="44"/>
      <c r="F155" s="94"/>
      <c r="G155" s="94"/>
      <c r="H155" s="94"/>
      <c r="I155" s="94"/>
      <c r="J155" s="94"/>
      <c r="K155" s="94"/>
      <c r="L155" s="94"/>
      <c r="M155" s="94"/>
      <c r="N155" s="94"/>
      <c r="O155" s="94"/>
      <c r="P155" s="94"/>
      <c r="Q155" s="94"/>
      <c r="R155" s="94"/>
      <c r="S155" s="94"/>
      <c r="T155" s="94"/>
      <c r="U155" s="94"/>
      <c r="V155" s="94"/>
      <c r="W155" s="94"/>
      <c r="X155" s="94"/>
      <c r="Y155" s="94"/>
      <c r="Z155" s="94"/>
    </row>
    <row r="156">
      <c r="A156" s="1"/>
      <c r="C156" s="44"/>
      <c r="E156" s="44"/>
      <c r="F156" s="94"/>
      <c r="G156" s="94"/>
      <c r="H156" s="94"/>
      <c r="I156" s="94"/>
      <c r="J156" s="94"/>
      <c r="K156" s="94"/>
      <c r="L156" s="94"/>
      <c r="M156" s="94"/>
      <c r="N156" s="94"/>
      <c r="O156" s="94"/>
      <c r="P156" s="94"/>
      <c r="Q156" s="94"/>
      <c r="R156" s="94"/>
      <c r="S156" s="94"/>
      <c r="T156" s="94"/>
      <c r="U156" s="94"/>
      <c r="V156" s="94"/>
      <c r="W156" s="94"/>
      <c r="X156" s="94"/>
      <c r="Y156" s="94"/>
      <c r="Z156" s="94"/>
    </row>
    <row r="157">
      <c r="A157" s="1"/>
      <c r="C157" s="44"/>
      <c r="E157" s="44"/>
      <c r="F157" s="94"/>
      <c r="G157" s="94"/>
      <c r="H157" s="94"/>
      <c r="I157" s="94"/>
      <c r="J157" s="94"/>
      <c r="K157" s="94"/>
      <c r="L157" s="94"/>
      <c r="M157" s="94"/>
      <c r="N157" s="94"/>
      <c r="O157" s="94"/>
      <c r="P157" s="94"/>
      <c r="Q157" s="94"/>
      <c r="R157" s="94"/>
      <c r="S157" s="94"/>
      <c r="T157" s="94"/>
      <c r="U157" s="94"/>
      <c r="V157" s="94"/>
      <c r="W157" s="94"/>
      <c r="X157" s="94"/>
      <c r="Y157" s="94"/>
      <c r="Z157" s="94"/>
    </row>
    <row r="158">
      <c r="A158" s="1"/>
      <c r="C158" s="44"/>
      <c r="E158" s="44"/>
      <c r="F158" s="94"/>
      <c r="G158" s="94"/>
      <c r="H158" s="94"/>
      <c r="I158" s="94"/>
      <c r="J158" s="94"/>
      <c r="K158" s="94"/>
      <c r="L158" s="94"/>
      <c r="M158" s="94"/>
      <c r="N158" s="94"/>
      <c r="O158" s="94"/>
      <c r="P158" s="94"/>
      <c r="Q158" s="94"/>
      <c r="R158" s="94"/>
      <c r="S158" s="94"/>
      <c r="T158" s="94"/>
      <c r="U158" s="94"/>
      <c r="V158" s="94"/>
      <c r="W158" s="94"/>
      <c r="X158" s="94"/>
      <c r="Y158" s="94"/>
      <c r="Z158" s="94"/>
    </row>
    <row r="159">
      <c r="A159" s="1"/>
      <c r="C159" s="44"/>
      <c r="E159" s="44"/>
      <c r="F159" s="94"/>
      <c r="G159" s="94"/>
      <c r="H159" s="94"/>
      <c r="I159" s="94"/>
      <c r="J159" s="94"/>
      <c r="K159" s="94"/>
      <c r="L159" s="94"/>
      <c r="M159" s="94"/>
      <c r="N159" s="94"/>
      <c r="O159" s="94"/>
      <c r="P159" s="94"/>
      <c r="Q159" s="94"/>
      <c r="R159" s="94"/>
      <c r="S159" s="94"/>
      <c r="T159" s="94"/>
      <c r="U159" s="94"/>
      <c r="V159" s="94"/>
      <c r="W159" s="94"/>
      <c r="X159" s="94"/>
      <c r="Y159" s="94"/>
      <c r="Z159" s="94"/>
    </row>
    <row r="160">
      <c r="A160" s="1"/>
      <c r="C160" s="44"/>
      <c r="E160" s="44"/>
      <c r="F160" s="94"/>
      <c r="G160" s="94"/>
      <c r="H160" s="94"/>
      <c r="I160" s="94"/>
      <c r="J160" s="94"/>
      <c r="K160" s="94"/>
      <c r="L160" s="94"/>
      <c r="M160" s="94"/>
      <c r="N160" s="94"/>
      <c r="O160" s="94"/>
      <c r="P160" s="94"/>
      <c r="Q160" s="94"/>
      <c r="R160" s="94"/>
      <c r="S160" s="94"/>
      <c r="T160" s="94"/>
      <c r="U160" s="94"/>
      <c r="V160" s="94"/>
      <c r="W160" s="94"/>
      <c r="X160" s="94"/>
      <c r="Y160" s="94"/>
      <c r="Z160" s="94"/>
    </row>
    <row r="161">
      <c r="A161" s="1"/>
      <c r="C161" s="44"/>
      <c r="E161" s="44"/>
      <c r="F161" s="94"/>
      <c r="G161" s="94"/>
      <c r="H161" s="94"/>
      <c r="I161" s="94"/>
      <c r="J161" s="94"/>
      <c r="K161" s="94"/>
      <c r="L161" s="94"/>
      <c r="M161" s="94"/>
      <c r="N161" s="94"/>
      <c r="O161" s="94"/>
      <c r="P161" s="94"/>
      <c r="Q161" s="94"/>
      <c r="R161" s="94"/>
      <c r="S161" s="94"/>
      <c r="T161" s="94"/>
      <c r="U161" s="94"/>
      <c r="V161" s="94"/>
      <c r="W161" s="94"/>
      <c r="X161" s="94"/>
      <c r="Y161" s="94"/>
      <c r="Z161" s="94"/>
    </row>
    <row r="162">
      <c r="A162" s="1"/>
      <c r="C162" s="44"/>
      <c r="E162" s="44"/>
      <c r="F162" s="94"/>
      <c r="G162" s="94"/>
      <c r="H162" s="94"/>
      <c r="I162" s="94"/>
      <c r="J162" s="94"/>
      <c r="K162" s="94"/>
      <c r="L162" s="94"/>
      <c r="M162" s="94"/>
      <c r="N162" s="94"/>
      <c r="O162" s="94"/>
      <c r="P162" s="94"/>
      <c r="Q162" s="94"/>
      <c r="R162" s="94"/>
      <c r="S162" s="94"/>
      <c r="T162" s="94"/>
      <c r="U162" s="94"/>
      <c r="V162" s="94"/>
      <c r="W162" s="94"/>
      <c r="X162" s="94"/>
      <c r="Y162" s="94"/>
      <c r="Z162" s="94"/>
    </row>
    <row r="163">
      <c r="A163" s="1"/>
      <c r="C163" s="44"/>
      <c r="E163" s="44"/>
      <c r="F163" s="94"/>
      <c r="G163" s="94"/>
      <c r="H163" s="94"/>
      <c r="I163" s="94"/>
      <c r="J163" s="94"/>
      <c r="K163" s="94"/>
      <c r="L163" s="94"/>
      <c r="M163" s="94"/>
      <c r="N163" s="94"/>
      <c r="O163" s="94"/>
      <c r="P163" s="94"/>
      <c r="Q163" s="94"/>
      <c r="R163" s="94"/>
      <c r="S163" s="94"/>
      <c r="T163" s="94"/>
      <c r="U163" s="94"/>
      <c r="V163" s="94"/>
      <c r="W163" s="94"/>
      <c r="X163" s="94"/>
      <c r="Y163" s="94"/>
      <c r="Z163" s="94"/>
    </row>
    <row r="164">
      <c r="A164" s="1"/>
      <c r="C164" s="44"/>
      <c r="E164" s="44"/>
      <c r="F164" s="94"/>
      <c r="G164" s="94"/>
      <c r="H164" s="94"/>
      <c r="I164" s="94"/>
      <c r="J164" s="94"/>
      <c r="K164" s="94"/>
      <c r="L164" s="94"/>
      <c r="M164" s="94"/>
      <c r="N164" s="94"/>
      <c r="O164" s="94"/>
      <c r="P164" s="94"/>
      <c r="Q164" s="94"/>
      <c r="R164" s="94"/>
      <c r="S164" s="94"/>
      <c r="T164" s="94"/>
      <c r="U164" s="94"/>
      <c r="V164" s="94"/>
      <c r="W164" s="94"/>
      <c r="X164" s="94"/>
      <c r="Y164" s="94"/>
      <c r="Z164" s="94"/>
    </row>
    <row r="165">
      <c r="A165" s="1"/>
      <c r="C165" s="44"/>
      <c r="E165" s="44"/>
      <c r="F165" s="94"/>
      <c r="G165" s="94"/>
      <c r="H165" s="94"/>
      <c r="I165" s="94"/>
      <c r="J165" s="94"/>
      <c r="K165" s="94"/>
      <c r="L165" s="94"/>
      <c r="M165" s="94"/>
      <c r="N165" s="94"/>
      <c r="O165" s="94"/>
      <c r="P165" s="94"/>
      <c r="Q165" s="94"/>
      <c r="R165" s="94"/>
      <c r="S165" s="94"/>
      <c r="T165" s="94"/>
      <c r="U165" s="94"/>
      <c r="V165" s="94"/>
      <c r="W165" s="94"/>
      <c r="X165" s="94"/>
      <c r="Y165" s="94"/>
      <c r="Z165" s="94"/>
    </row>
    <row r="166">
      <c r="A166" s="1"/>
      <c r="C166" s="44"/>
      <c r="E166" s="44"/>
      <c r="F166" s="94"/>
      <c r="G166" s="94"/>
      <c r="H166" s="94"/>
      <c r="I166" s="94"/>
      <c r="J166" s="94"/>
      <c r="K166" s="94"/>
      <c r="L166" s="94"/>
      <c r="M166" s="94"/>
      <c r="N166" s="94"/>
      <c r="O166" s="94"/>
      <c r="P166" s="94"/>
      <c r="Q166" s="94"/>
      <c r="R166" s="94"/>
      <c r="S166" s="94"/>
      <c r="T166" s="94"/>
      <c r="U166" s="94"/>
      <c r="V166" s="94"/>
      <c r="W166" s="94"/>
      <c r="X166" s="94"/>
      <c r="Y166" s="94"/>
      <c r="Z166" s="94"/>
    </row>
    <row r="167">
      <c r="A167" s="1"/>
      <c r="C167" s="44"/>
      <c r="E167" s="44"/>
      <c r="F167" s="94"/>
      <c r="G167" s="94"/>
      <c r="H167" s="94"/>
      <c r="I167" s="94"/>
      <c r="J167" s="94"/>
      <c r="K167" s="94"/>
      <c r="L167" s="94"/>
      <c r="M167" s="94"/>
      <c r="N167" s="94"/>
      <c r="O167" s="94"/>
      <c r="P167" s="94"/>
      <c r="Q167" s="94"/>
      <c r="R167" s="94"/>
      <c r="S167" s="94"/>
      <c r="T167" s="94"/>
      <c r="U167" s="94"/>
      <c r="V167" s="94"/>
      <c r="W167" s="94"/>
      <c r="X167" s="94"/>
      <c r="Y167" s="94"/>
      <c r="Z167" s="94"/>
    </row>
    <row r="168">
      <c r="A168" s="1"/>
      <c r="C168" s="44"/>
      <c r="E168" s="44"/>
      <c r="F168" s="94"/>
      <c r="G168" s="94"/>
      <c r="H168" s="94"/>
      <c r="I168" s="94"/>
      <c r="J168" s="94"/>
      <c r="K168" s="94"/>
      <c r="L168" s="94"/>
      <c r="M168" s="94"/>
      <c r="N168" s="94"/>
      <c r="O168" s="94"/>
      <c r="P168" s="94"/>
      <c r="Q168" s="94"/>
      <c r="R168" s="94"/>
      <c r="S168" s="94"/>
      <c r="T168" s="94"/>
      <c r="U168" s="94"/>
      <c r="V168" s="94"/>
      <c r="W168" s="94"/>
      <c r="X168" s="94"/>
      <c r="Y168" s="94"/>
      <c r="Z168" s="94"/>
    </row>
    <row r="169">
      <c r="A169" s="1"/>
      <c r="C169" s="44"/>
      <c r="E169" s="44"/>
      <c r="F169" s="94"/>
      <c r="G169" s="94"/>
      <c r="H169" s="94"/>
      <c r="I169" s="94"/>
      <c r="J169" s="94"/>
      <c r="K169" s="94"/>
      <c r="L169" s="94"/>
      <c r="M169" s="94"/>
      <c r="N169" s="94"/>
      <c r="O169" s="94"/>
      <c r="P169" s="94"/>
      <c r="Q169" s="94"/>
      <c r="R169" s="94"/>
      <c r="S169" s="94"/>
      <c r="T169" s="94"/>
      <c r="U169" s="94"/>
      <c r="V169" s="94"/>
      <c r="W169" s="94"/>
      <c r="X169" s="94"/>
      <c r="Y169" s="94"/>
      <c r="Z169" s="94"/>
    </row>
    <row r="170">
      <c r="A170" s="1"/>
      <c r="C170" s="44"/>
      <c r="E170" s="44"/>
      <c r="F170" s="94"/>
      <c r="G170" s="94"/>
      <c r="H170" s="94"/>
      <c r="I170" s="94"/>
      <c r="J170" s="94"/>
      <c r="K170" s="94"/>
      <c r="L170" s="94"/>
      <c r="M170" s="94"/>
      <c r="N170" s="94"/>
      <c r="O170" s="94"/>
      <c r="P170" s="94"/>
      <c r="Q170" s="94"/>
      <c r="R170" s="94"/>
      <c r="S170" s="94"/>
      <c r="T170" s="94"/>
      <c r="U170" s="94"/>
      <c r="V170" s="94"/>
      <c r="W170" s="94"/>
      <c r="X170" s="94"/>
      <c r="Y170" s="94"/>
      <c r="Z170" s="94"/>
    </row>
    <row r="171">
      <c r="A171" s="1"/>
      <c r="C171" s="44"/>
      <c r="E171" s="44"/>
      <c r="F171" s="94"/>
      <c r="G171" s="94"/>
      <c r="H171" s="94"/>
      <c r="I171" s="94"/>
      <c r="J171" s="94"/>
      <c r="K171" s="94"/>
      <c r="L171" s="94"/>
      <c r="M171" s="94"/>
      <c r="N171" s="94"/>
      <c r="O171" s="94"/>
      <c r="P171" s="94"/>
      <c r="Q171" s="94"/>
      <c r="R171" s="94"/>
      <c r="S171" s="94"/>
      <c r="T171" s="94"/>
      <c r="U171" s="94"/>
      <c r="V171" s="94"/>
      <c r="W171" s="94"/>
      <c r="X171" s="94"/>
      <c r="Y171" s="94"/>
      <c r="Z171" s="94"/>
    </row>
    <row r="172">
      <c r="A172" s="1"/>
      <c r="C172" s="44"/>
      <c r="E172" s="44"/>
      <c r="F172" s="94"/>
      <c r="G172" s="94"/>
      <c r="H172" s="94"/>
      <c r="I172" s="94"/>
      <c r="J172" s="94"/>
      <c r="K172" s="94"/>
      <c r="L172" s="94"/>
      <c r="M172" s="94"/>
      <c r="N172" s="94"/>
      <c r="O172" s="94"/>
      <c r="P172" s="94"/>
      <c r="Q172" s="94"/>
      <c r="R172" s="94"/>
      <c r="S172" s="94"/>
      <c r="T172" s="94"/>
      <c r="U172" s="94"/>
      <c r="V172" s="94"/>
      <c r="W172" s="94"/>
      <c r="X172" s="94"/>
      <c r="Y172" s="94"/>
      <c r="Z172" s="94"/>
    </row>
    <row r="173">
      <c r="A173" s="1"/>
      <c r="C173" s="44"/>
      <c r="E173" s="44"/>
      <c r="F173" s="94"/>
      <c r="G173" s="94"/>
      <c r="H173" s="94"/>
      <c r="I173" s="94"/>
      <c r="J173" s="94"/>
      <c r="K173" s="94"/>
      <c r="L173" s="94"/>
      <c r="M173" s="94"/>
      <c r="N173" s="94"/>
      <c r="O173" s="94"/>
      <c r="P173" s="94"/>
      <c r="Q173" s="94"/>
      <c r="R173" s="94"/>
      <c r="S173" s="94"/>
      <c r="T173" s="94"/>
      <c r="U173" s="94"/>
      <c r="V173" s="94"/>
      <c r="W173" s="94"/>
      <c r="X173" s="94"/>
      <c r="Y173" s="94"/>
      <c r="Z173" s="94"/>
    </row>
    <row r="174">
      <c r="A174" s="1"/>
      <c r="C174" s="44"/>
      <c r="E174" s="44"/>
      <c r="F174" s="94"/>
      <c r="G174" s="94"/>
      <c r="H174" s="94"/>
      <c r="I174" s="94"/>
      <c r="J174" s="94"/>
      <c r="K174" s="94"/>
      <c r="L174" s="94"/>
      <c r="M174" s="94"/>
      <c r="N174" s="94"/>
      <c r="O174" s="94"/>
      <c r="P174" s="94"/>
      <c r="Q174" s="94"/>
      <c r="R174" s="94"/>
      <c r="S174" s="94"/>
      <c r="T174" s="94"/>
      <c r="U174" s="94"/>
      <c r="V174" s="94"/>
      <c r="W174" s="94"/>
      <c r="X174" s="94"/>
      <c r="Y174" s="94"/>
      <c r="Z174" s="94"/>
    </row>
    <row r="175">
      <c r="A175" s="1"/>
      <c r="C175" s="44"/>
      <c r="E175" s="44"/>
      <c r="F175" s="94"/>
      <c r="G175" s="94"/>
      <c r="H175" s="94"/>
      <c r="I175" s="94"/>
      <c r="J175" s="94"/>
      <c r="K175" s="94"/>
      <c r="L175" s="94"/>
      <c r="M175" s="94"/>
      <c r="N175" s="94"/>
      <c r="O175" s="94"/>
      <c r="P175" s="94"/>
      <c r="Q175" s="94"/>
      <c r="R175" s="94"/>
      <c r="S175" s="94"/>
      <c r="T175" s="94"/>
      <c r="U175" s="94"/>
      <c r="V175" s="94"/>
      <c r="W175" s="94"/>
      <c r="X175" s="94"/>
      <c r="Y175" s="94"/>
      <c r="Z175" s="94"/>
    </row>
    <row r="176">
      <c r="A176" s="1"/>
      <c r="C176" s="44"/>
      <c r="E176" s="44"/>
      <c r="F176" s="94"/>
      <c r="G176" s="94"/>
      <c r="H176" s="94"/>
      <c r="I176" s="94"/>
      <c r="J176" s="94"/>
      <c r="K176" s="94"/>
      <c r="L176" s="94"/>
      <c r="M176" s="94"/>
      <c r="N176" s="94"/>
      <c r="O176" s="94"/>
      <c r="P176" s="94"/>
      <c r="Q176" s="94"/>
      <c r="R176" s="94"/>
      <c r="S176" s="94"/>
      <c r="T176" s="94"/>
      <c r="U176" s="94"/>
      <c r="V176" s="94"/>
      <c r="W176" s="94"/>
      <c r="X176" s="94"/>
      <c r="Y176" s="94"/>
      <c r="Z176" s="94"/>
    </row>
    <row r="177">
      <c r="A177" s="1"/>
      <c r="C177" s="44"/>
      <c r="E177" s="44"/>
      <c r="F177" s="94"/>
      <c r="G177" s="94"/>
      <c r="H177" s="94"/>
      <c r="I177" s="94"/>
      <c r="J177" s="94"/>
      <c r="K177" s="94"/>
      <c r="L177" s="94"/>
      <c r="M177" s="94"/>
      <c r="N177" s="94"/>
      <c r="O177" s="94"/>
      <c r="P177" s="94"/>
      <c r="Q177" s="94"/>
      <c r="R177" s="94"/>
      <c r="S177" s="94"/>
      <c r="T177" s="94"/>
      <c r="U177" s="94"/>
      <c r="V177" s="94"/>
      <c r="W177" s="94"/>
      <c r="X177" s="94"/>
      <c r="Y177" s="94"/>
      <c r="Z177" s="94"/>
    </row>
    <row r="178">
      <c r="A178" s="1"/>
      <c r="C178" s="44"/>
      <c r="E178" s="44"/>
      <c r="F178" s="94"/>
      <c r="G178" s="94"/>
      <c r="H178" s="94"/>
      <c r="I178" s="94"/>
      <c r="J178" s="94"/>
      <c r="K178" s="94"/>
      <c r="L178" s="94"/>
      <c r="M178" s="94"/>
      <c r="N178" s="94"/>
      <c r="O178" s="94"/>
      <c r="P178" s="94"/>
      <c r="Q178" s="94"/>
      <c r="R178" s="94"/>
      <c r="S178" s="94"/>
      <c r="T178" s="94"/>
      <c r="U178" s="94"/>
      <c r="V178" s="94"/>
      <c r="W178" s="94"/>
      <c r="X178" s="94"/>
      <c r="Y178" s="94"/>
      <c r="Z178" s="94"/>
    </row>
    <row r="179">
      <c r="A179" s="1"/>
      <c r="C179" s="44"/>
      <c r="E179" s="44"/>
      <c r="F179" s="94"/>
      <c r="G179" s="94"/>
      <c r="H179" s="94"/>
      <c r="I179" s="94"/>
      <c r="J179" s="94"/>
      <c r="K179" s="94"/>
      <c r="L179" s="94"/>
      <c r="M179" s="94"/>
      <c r="N179" s="94"/>
      <c r="O179" s="94"/>
      <c r="P179" s="94"/>
      <c r="Q179" s="94"/>
      <c r="R179" s="94"/>
      <c r="S179" s="94"/>
      <c r="T179" s="94"/>
      <c r="U179" s="94"/>
      <c r="V179" s="94"/>
      <c r="W179" s="94"/>
      <c r="X179" s="94"/>
      <c r="Y179" s="94"/>
      <c r="Z179" s="94"/>
    </row>
    <row r="180">
      <c r="A180" s="1"/>
      <c r="C180" s="44"/>
      <c r="E180" s="44"/>
      <c r="F180" s="94"/>
      <c r="G180" s="94"/>
      <c r="H180" s="94"/>
      <c r="I180" s="94"/>
      <c r="J180" s="94"/>
      <c r="K180" s="94"/>
      <c r="L180" s="94"/>
      <c r="M180" s="94"/>
      <c r="N180" s="94"/>
      <c r="O180" s="94"/>
      <c r="P180" s="94"/>
      <c r="Q180" s="94"/>
      <c r="R180" s="94"/>
      <c r="S180" s="94"/>
      <c r="T180" s="94"/>
      <c r="U180" s="94"/>
      <c r="V180" s="94"/>
      <c r="W180" s="94"/>
      <c r="X180" s="94"/>
      <c r="Y180" s="94"/>
      <c r="Z180" s="94"/>
    </row>
    <row r="181">
      <c r="A181" s="1"/>
      <c r="C181" s="44"/>
      <c r="E181" s="44"/>
      <c r="F181" s="94"/>
      <c r="G181" s="94"/>
      <c r="H181" s="94"/>
      <c r="I181" s="94"/>
      <c r="J181" s="94"/>
      <c r="K181" s="94"/>
      <c r="L181" s="94"/>
      <c r="M181" s="94"/>
      <c r="N181" s="94"/>
      <c r="O181" s="94"/>
      <c r="P181" s="94"/>
      <c r="Q181" s="94"/>
      <c r="R181" s="94"/>
      <c r="S181" s="94"/>
      <c r="T181" s="94"/>
      <c r="U181" s="94"/>
      <c r="V181" s="94"/>
      <c r="W181" s="94"/>
      <c r="X181" s="94"/>
      <c r="Y181" s="94"/>
      <c r="Z181" s="94"/>
    </row>
    <row r="182">
      <c r="A182" s="1"/>
      <c r="C182" s="44"/>
      <c r="E182" s="44"/>
      <c r="F182" s="94"/>
      <c r="G182" s="94"/>
      <c r="H182" s="94"/>
      <c r="I182" s="94"/>
      <c r="J182" s="94"/>
      <c r="K182" s="94"/>
      <c r="L182" s="94"/>
      <c r="M182" s="94"/>
      <c r="N182" s="94"/>
      <c r="O182" s="94"/>
      <c r="P182" s="94"/>
      <c r="Q182" s="94"/>
      <c r="R182" s="94"/>
      <c r="S182" s="94"/>
      <c r="T182" s="94"/>
      <c r="U182" s="94"/>
      <c r="V182" s="94"/>
      <c r="W182" s="94"/>
      <c r="X182" s="94"/>
      <c r="Y182" s="94"/>
      <c r="Z182" s="94"/>
    </row>
    <row r="183">
      <c r="A183" s="1"/>
      <c r="C183" s="44"/>
      <c r="E183" s="44"/>
      <c r="F183" s="94"/>
      <c r="G183" s="94"/>
      <c r="H183" s="94"/>
      <c r="I183" s="94"/>
      <c r="J183" s="94"/>
      <c r="K183" s="94"/>
      <c r="L183" s="94"/>
      <c r="M183" s="94"/>
      <c r="N183" s="94"/>
      <c r="O183" s="94"/>
      <c r="P183" s="94"/>
      <c r="Q183" s="94"/>
      <c r="R183" s="94"/>
      <c r="S183" s="94"/>
      <c r="T183" s="94"/>
      <c r="U183" s="94"/>
      <c r="V183" s="94"/>
      <c r="W183" s="94"/>
      <c r="X183" s="94"/>
      <c r="Y183" s="94"/>
      <c r="Z183" s="94"/>
    </row>
    <row r="184">
      <c r="A184" s="1"/>
      <c r="C184" s="44"/>
      <c r="E184" s="44"/>
      <c r="F184" s="94"/>
      <c r="G184" s="94"/>
      <c r="H184" s="94"/>
      <c r="I184" s="94"/>
      <c r="J184" s="94"/>
      <c r="K184" s="94"/>
      <c r="L184" s="94"/>
      <c r="M184" s="94"/>
      <c r="N184" s="94"/>
      <c r="O184" s="94"/>
      <c r="P184" s="94"/>
      <c r="Q184" s="94"/>
      <c r="R184" s="94"/>
      <c r="S184" s="94"/>
      <c r="T184" s="94"/>
      <c r="U184" s="94"/>
      <c r="V184" s="94"/>
      <c r="W184" s="94"/>
      <c r="X184" s="94"/>
      <c r="Y184" s="94"/>
      <c r="Z184" s="94"/>
    </row>
    <row r="185">
      <c r="A185" s="1"/>
      <c r="C185" s="44"/>
      <c r="E185" s="44"/>
      <c r="F185" s="94"/>
      <c r="G185" s="94"/>
      <c r="H185" s="94"/>
      <c r="I185" s="94"/>
      <c r="J185" s="94"/>
      <c r="K185" s="94"/>
      <c r="L185" s="94"/>
      <c r="M185" s="94"/>
      <c r="N185" s="94"/>
      <c r="O185" s="94"/>
      <c r="P185" s="94"/>
      <c r="Q185" s="94"/>
      <c r="R185" s="94"/>
      <c r="S185" s="94"/>
      <c r="T185" s="94"/>
      <c r="U185" s="94"/>
      <c r="V185" s="94"/>
      <c r="W185" s="94"/>
      <c r="X185" s="94"/>
      <c r="Y185" s="94"/>
      <c r="Z185" s="94"/>
    </row>
    <row r="186">
      <c r="A186" s="1"/>
      <c r="C186" s="44"/>
      <c r="E186" s="44"/>
      <c r="F186" s="94"/>
      <c r="G186" s="94"/>
      <c r="H186" s="94"/>
      <c r="I186" s="94"/>
      <c r="J186" s="94"/>
      <c r="K186" s="94"/>
      <c r="L186" s="94"/>
      <c r="M186" s="94"/>
      <c r="N186" s="94"/>
      <c r="O186" s="94"/>
      <c r="P186" s="94"/>
      <c r="Q186" s="94"/>
      <c r="R186" s="94"/>
      <c r="S186" s="94"/>
      <c r="T186" s="94"/>
      <c r="U186" s="94"/>
      <c r="V186" s="94"/>
      <c r="W186" s="94"/>
      <c r="X186" s="94"/>
      <c r="Y186" s="94"/>
      <c r="Z186" s="94"/>
    </row>
    <row r="187">
      <c r="A187" s="1"/>
      <c r="C187" s="44"/>
      <c r="E187" s="44"/>
      <c r="F187" s="94"/>
      <c r="G187" s="94"/>
      <c r="H187" s="94"/>
      <c r="I187" s="94"/>
      <c r="J187" s="94"/>
      <c r="K187" s="94"/>
      <c r="L187" s="94"/>
      <c r="M187" s="94"/>
      <c r="N187" s="94"/>
      <c r="O187" s="94"/>
      <c r="P187" s="94"/>
      <c r="Q187" s="94"/>
      <c r="R187" s="94"/>
      <c r="S187" s="94"/>
      <c r="T187" s="94"/>
      <c r="U187" s="94"/>
      <c r="V187" s="94"/>
      <c r="W187" s="94"/>
      <c r="X187" s="94"/>
      <c r="Y187" s="94"/>
      <c r="Z187" s="94"/>
    </row>
    <row r="188">
      <c r="A188" s="1"/>
      <c r="C188" s="44"/>
      <c r="E188" s="44"/>
      <c r="F188" s="94"/>
      <c r="G188" s="94"/>
      <c r="H188" s="94"/>
      <c r="I188" s="94"/>
      <c r="J188" s="94"/>
      <c r="K188" s="94"/>
      <c r="L188" s="94"/>
      <c r="M188" s="94"/>
      <c r="N188" s="94"/>
      <c r="O188" s="94"/>
      <c r="P188" s="94"/>
      <c r="Q188" s="94"/>
      <c r="R188" s="94"/>
      <c r="S188" s="94"/>
      <c r="T188" s="94"/>
      <c r="U188" s="94"/>
      <c r="V188" s="94"/>
      <c r="W188" s="94"/>
      <c r="X188" s="94"/>
      <c r="Y188" s="94"/>
      <c r="Z188" s="94"/>
    </row>
    <row r="189">
      <c r="A189" s="1"/>
      <c r="C189" s="44"/>
      <c r="E189" s="44"/>
      <c r="F189" s="94"/>
      <c r="G189" s="94"/>
      <c r="H189" s="94"/>
      <c r="I189" s="94"/>
      <c r="J189" s="94"/>
      <c r="K189" s="94"/>
      <c r="L189" s="94"/>
      <c r="M189" s="94"/>
      <c r="N189" s="94"/>
      <c r="O189" s="94"/>
      <c r="P189" s="94"/>
      <c r="Q189" s="94"/>
      <c r="R189" s="94"/>
      <c r="S189" s="94"/>
      <c r="T189" s="94"/>
      <c r="U189" s="94"/>
      <c r="V189" s="94"/>
      <c r="W189" s="94"/>
      <c r="X189" s="94"/>
      <c r="Y189" s="94"/>
      <c r="Z189" s="94"/>
    </row>
    <row r="190">
      <c r="A190" s="1"/>
      <c r="C190" s="44"/>
      <c r="E190" s="44"/>
      <c r="F190" s="94"/>
      <c r="G190" s="94"/>
      <c r="H190" s="94"/>
      <c r="I190" s="94"/>
      <c r="J190" s="94"/>
      <c r="K190" s="94"/>
      <c r="L190" s="94"/>
      <c r="M190" s="94"/>
      <c r="N190" s="94"/>
      <c r="O190" s="94"/>
      <c r="P190" s="94"/>
      <c r="Q190" s="94"/>
      <c r="R190" s="94"/>
      <c r="S190" s="94"/>
      <c r="T190" s="94"/>
      <c r="U190" s="94"/>
      <c r="V190" s="94"/>
      <c r="W190" s="94"/>
      <c r="X190" s="94"/>
      <c r="Y190" s="94"/>
      <c r="Z190" s="94"/>
    </row>
    <row r="191">
      <c r="A191" s="1"/>
      <c r="C191" s="44"/>
      <c r="E191" s="44"/>
      <c r="F191" s="94"/>
      <c r="G191" s="94"/>
      <c r="H191" s="94"/>
      <c r="I191" s="94"/>
      <c r="J191" s="94"/>
      <c r="K191" s="94"/>
      <c r="L191" s="94"/>
      <c r="M191" s="94"/>
      <c r="N191" s="94"/>
      <c r="O191" s="94"/>
      <c r="P191" s="94"/>
      <c r="Q191" s="94"/>
      <c r="R191" s="94"/>
      <c r="S191" s="94"/>
      <c r="T191" s="94"/>
      <c r="U191" s="94"/>
      <c r="V191" s="94"/>
      <c r="W191" s="94"/>
      <c r="X191" s="94"/>
      <c r="Y191" s="94"/>
      <c r="Z191" s="94"/>
    </row>
    <row r="192">
      <c r="A192" s="1"/>
      <c r="C192" s="44"/>
      <c r="E192" s="44"/>
      <c r="F192" s="94"/>
      <c r="G192" s="94"/>
      <c r="H192" s="94"/>
      <c r="I192" s="94"/>
      <c r="J192" s="94"/>
      <c r="K192" s="94"/>
      <c r="L192" s="94"/>
      <c r="M192" s="94"/>
      <c r="N192" s="94"/>
      <c r="O192" s="94"/>
      <c r="P192" s="94"/>
      <c r="Q192" s="94"/>
      <c r="R192" s="94"/>
      <c r="S192" s="94"/>
      <c r="T192" s="94"/>
      <c r="U192" s="94"/>
      <c r="V192" s="94"/>
      <c r="W192" s="94"/>
      <c r="X192" s="94"/>
      <c r="Y192" s="94"/>
      <c r="Z192" s="94"/>
    </row>
    <row r="193">
      <c r="A193" s="1"/>
      <c r="C193" s="44"/>
      <c r="E193" s="44"/>
      <c r="F193" s="94"/>
      <c r="G193" s="94"/>
      <c r="H193" s="94"/>
      <c r="I193" s="94"/>
      <c r="J193" s="94"/>
      <c r="K193" s="94"/>
      <c r="L193" s="94"/>
      <c r="M193" s="94"/>
      <c r="N193" s="94"/>
      <c r="O193" s="94"/>
      <c r="P193" s="94"/>
      <c r="Q193" s="94"/>
      <c r="R193" s="94"/>
      <c r="S193" s="94"/>
      <c r="T193" s="94"/>
      <c r="U193" s="94"/>
      <c r="V193" s="94"/>
      <c r="W193" s="94"/>
      <c r="X193" s="94"/>
      <c r="Y193" s="94"/>
      <c r="Z193" s="94"/>
    </row>
    <row r="194">
      <c r="A194" s="1"/>
      <c r="C194" s="44"/>
      <c r="E194" s="44"/>
      <c r="F194" s="94"/>
      <c r="G194" s="94"/>
      <c r="H194" s="94"/>
      <c r="I194" s="94"/>
      <c r="J194" s="94"/>
      <c r="K194" s="94"/>
      <c r="L194" s="94"/>
      <c r="M194" s="94"/>
      <c r="N194" s="94"/>
      <c r="O194" s="94"/>
      <c r="P194" s="94"/>
      <c r="Q194" s="94"/>
      <c r="R194" s="94"/>
      <c r="S194" s="94"/>
      <c r="T194" s="94"/>
      <c r="U194" s="94"/>
      <c r="V194" s="94"/>
      <c r="W194" s="94"/>
      <c r="X194" s="94"/>
      <c r="Y194" s="94"/>
      <c r="Z194" s="94"/>
    </row>
    <row r="195">
      <c r="A195" s="1"/>
      <c r="C195" s="44"/>
      <c r="E195" s="44"/>
      <c r="F195" s="94"/>
      <c r="G195" s="94"/>
      <c r="H195" s="94"/>
      <c r="I195" s="94"/>
      <c r="J195" s="94"/>
      <c r="K195" s="94"/>
      <c r="L195" s="94"/>
      <c r="M195" s="94"/>
      <c r="N195" s="94"/>
      <c r="O195" s="94"/>
      <c r="P195" s="94"/>
      <c r="Q195" s="94"/>
      <c r="R195" s="94"/>
      <c r="S195" s="94"/>
      <c r="T195" s="94"/>
      <c r="U195" s="94"/>
      <c r="V195" s="94"/>
      <c r="W195" s="94"/>
      <c r="X195" s="94"/>
      <c r="Y195" s="94"/>
      <c r="Z195" s="94"/>
    </row>
    <row r="196">
      <c r="A196" s="1"/>
      <c r="C196" s="44"/>
      <c r="E196" s="44"/>
      <c r="F196" s="94"/>
      <c r="G196" s="94"/>
      <c r="H196" s="94"/>
      <c r="I196" s="94"/>
      <c r="J196" s="94"/>
      <c r="K196" s="94"/>
      <c r="L196" s="94"/>
      <c r="M196" s="94"/>
      <c r="N196" s="94"/>
      <c r="O196" s="94"/>
      <c r="P196" s="94"/>
      <c r="Q196" s="94"/>
      <c r="R196" s="94"/>
      <c r="S196" s="94"/>
      <c r="T196" s="94"/>
      <c r="U196" s="94"/>
      <c r="V196" s="94"/>
      <c r="W196" s="94"/>
      <c r="X196" s="94"/>
      <c r="Y196" s="94"/>
      <c r="Z196" s="94"/>
    </row>
    <row r="197">
      <c r="A197" s="1"/>
      <c r="C197" s="44"/>
      <c r="E197" s="44"/>
      <c r="F197" s="94"/>
      <c r="G197" s="94"/>
      <c r="H197" s="94"/>
      <c r="I197" s="94"/>
      <c r="J197" s="94"/>
      <c r="K197" s="94"/>
      <c r="L197" s="94"/>
      <c r="M197" s="94"/>
      <c r="N197" s="94"/>
      <c r="O197" s="94"/>
      <c r="P197" s="94"/>
      <c r="Q197" s="94"/>
      <c r="R197" s="94"/>
      <c r="S197" s="94"/>
      <c r="T197" s="94"/>
      <c r="U197" s="94"/>
      <c r="V197" s="94"/>
      <c r="W197" s="94"/>
      <c r="X197" s="94"/>
      <c r="Y197" s="94"/>
      <c r="Z197" s="94"/>
    </row>
    <row r="198">
      <c r="A198" s="1"/>
      <c r="C198" s="44"/>
      <c r="E198" s="44"/>
      <c r="F198" s="94"/>
      <c r="G198" s="94"/>
      <c r="H198" s="94"/>
      <c r="I198" s="94"/>
      <c r="J198" s="94"/>
      <c r="K198" s="94"/>
      <c r="L198" s="94"/>
      <c r="M198" s="94"/>
      <c r="N198" s="94"/>
      <c r="O198" s="94"/>
      <c r="P198" s="94"/>
      <c r="Q198" s="94"/>
      <c r="R198" s="94"/>
      <c r="S198" s="94"/>
      <c r="T198" s="94"/>
      <c r="U198" s="94"/>
      <c r="V198" s="94"/>
      <c r="W198" s="94"/>
      <c r="X198" s="94"/>
      <c r="Y198" s="94"/>
      <c r="Z198" s="94"/>
    </row>
    <row r="199">
      <c r="A199" s="1"/>
      <c r="C199" s="44"/>
      <c r="E199" s="44"/>
      <c r="F199" s="94"/>
      <c r="G199" s="94"/>
      <c r="H199" s="94"/>
      <c r="I199" s="94"/>
      <c r="J199" s="94"/>
      <c r="K199" s="94"/>
      <c r="L199" s="94"/>
      <c r="M199" s="94"/>
      <c r="N199" s="94"/>
      <c r="O199" s="94"/>
      <c r="P199" s="94"/>
      <c r="Q199" s="94"/>
      <c r="R199" s="94"/>
      <c r="S199" s="94"/>
      <c r="T199" s="94"/>
      <c r="U199" s="94"/>
      <c r="V199" s="94"/>
      <c r="W199" s="94"/>
      <c r="X199" s="94"/>
      <c r="Y199" s="94"/>
      <c r="Z199" s="94"/>
    </row>
    <row r="200">
      <c r="A200" s="1"/>
      <c r="C200" s="44"/>
      <c r="E200" s="44"/>
      <c r="F200" s="94"/>
      <c r="G200" s="94"/>
      <c r="H200" s="94"/>
      <c r="I200" s="94"/>
      <c r="J200" s="94"/>
      <c r="K200" s="94"/>
      <c r="L200" s="94"/>
      <c r="M200" s="94"/>
      <c r="N200" s="94"/>
      <c r="O200" s="94"/>
      <c r="P200" s="94"/>
      <c r="Q200" s="94"/>
      <c r="R200" s="94"/>
      <c r="S200" s="94"/>
      <c r="T200" s="94"/>
      <c r="U200" s="94"/>
      <c r="V200" s="94"/>
      <c r="W200" s="94"/>
      <c r="X200" s="94"/>
      <c r="Y200" s="94"/>
      <c r="Z200" s="94"/>
    </row>
    <row r="201">
      <c r="A201" s="1"/>
      <c r="C201" s="44"/>
      <c r="E201" s="44"/>
      <c r="F201" s="94"/>
      <c r="G201" s="94"/>
      <c r="H201" s="94"/>
      <c r="I201" s="94"/>
      <c r="J201" s="94"/>
      <c r="K201" s="94"/>
      <c r="L201" s="94"/>
      <c r="M201" s="94"/>
      <c r="N201" s="94"/>
      <c r="O201" s="94"/>
      <c r="P201" s="94"/>
      <c r="Q201" s="94"/>
      <c r="R201" s="94"/>
      <c r="S201" s="94"/>
      <c r="T201" s="94"/>
      <c r="U201" s="94"/>
      <c r="V201" s="94"/>
      <c r="W201" s="94"/>
      <c r="X201" s="94"/>
      <c r="Y201" s="94"/>
      <c r="Z201" s="94"/>
    </row>
    <row r="202">
      <c r="A202" s="1"/>
      <c r="C202" s="44"/>
      <c r="E202" s="44"/>
      <c r="F202" s="94"/>
      <c r="G202" s="94"/>
      <c r="H202" s="94"/>
      <c r="I202" s="94"/>
      <c r="J202" s="94"/>
      <c r="K202" s="94"/>
      <c r="L202" s="94"/>
      <c r="M202" s="94"/>
      <c r="N202" s="94"/>
      <c r="O202" s="94"/>
      <c r="P202" s="94"/>
      <c r="Q202" s="94"/>
      <c r="R202" s="94"/>
      <c r="S202" s="94"/>
      <c r="T202" s="94"/>
      <c r="U202" s="94"/>
      <c r="V202" s="94"/>
      <c r="W202" s="94"/>
      <c r="X202" s="94"/>
      <c r="Y202" s="94"/>
      <c r="Z202" s="94"/>
    </row>
    <row r="203">
      <c r="A203" s="1"/>
      <c r="C203" s="44"/>
      <c r="E203" s="44"/>
      <c r="F203" s="94"/>
      <c r="G203" s="94"/>
      <c r="H203" s="94"/>
      <c r="I203" s="94"/>
      <c r="J203" s="94"/>
      <c r="K203" s="94"/>
      <c r="L203" s="94"/>
      <c r="M203" s="94"/>
      <c r="N203" s="94"/>
      <c r="O203" s="94"/>
      <c r="P203" s="94"/>
      <c r="Q203" s="94"/>
      <c r="R203" s="94"/>
      <c r="S203" s="94"/>
      <c r="T203" s="94"/>
      <c r="U203" s="94"/>
      <c r="V203" s="94"/>
      <c r="W203" s="94"/>
      <c r="X203" s="94"/>
      <c r="Y203" s="94"/>
      <c r="Z203" s="94"/>
    </row>
    <row r="204">
      <c r="A204" s="1"/>
      <c r="C204" s="44"/>
      <c r="E204" s="44"/>
      <c r="F204" s="94"/>
      <c r="G204" s="94"/>
      <c r="H204" s="94"/>
      <c r="I204" s="94"/>
      <c r="J204" s="94"/>
      <c r="K204" s="94"/>
      <c r="L204" s="94"/>
      <c r="M204" s="94"/>
      <c r="N204" s="94"/>
      <c r="O204" s="94"/>
      <c r="P204" s="94"/>
      <c r="Q204" s="94"/>
      <c r="R204" s="94"/>
      <c r="S204" s="94"/>
      <c r="T204" s="94"/>
      <c r="U204" s="94"/>
      <c r="V204" s="94"/>
      <c r="W204" s="94"/>
      <c r="X204" s="94"/>
      <c r="Y204" s="94"/>
      <c r="Z204" s="94"/>
    </row>
    <row r="205">
      <c r="A205" s="1"/>
      <c r="C205" s="44"/>
      <c r="E205" s="44"/>
      <c r="F205" s="94"/>
      <c r="G205" s="94"/>
      <c r="H205" s="94"/>
      <c r="I205" s="94"/>
      <c r="J205" s="94"/>
      <c r="K205" s="94"/>
      <c r="L205" s="94"/>
      <c r="M205" s="94"/>
      <c r="N205" s="94"/>
      <c r="O205" s="94"/>
      <c r="P205" s="94"/>
      <c r="Q205" s="94"/>
      <c r="R205" s="94"/>
      <c r="S205" s="94"/>
      <c r="T205" s="94"/>
      <c r="U205" s="94"/>
      <c r="V205" s="94"/>
      <c r="W205" s="94"/>
      <c r="X205" s="94"/>
      <c r="Y205" s="94"/>
      <c r="Z205" s="94"/>
    </row>
    <row r="206">
      <c r="A206" s="1"/>
      <c r="C206" s="44"/>
      <c r="E206" s="44"/>
      <c r="F206" s="94"/>
      <c r="G206" s="94"/>
      <c r="H206" s="94"/>
      <c r="I206" s="94"/>
      <c r="J206" s="94"/>
      <c r="K206" s="94"/>
      <c r="L206" s="94"/>
      <c r="M206" s="94"/>
      <c r="N206" s="94"/>
      <c r="O206" s="94"/>
      <c r="P206" s="94"/>
      <c r="Q206" s="94"/>
      <c r="R206" s="94"/>
      <c r="S206" s="94"/>
      <c r="T206" s="94"/>
      <c r="U206" s="94"/>
      <c r="V206" s="94"/>
      <c r="W206" s="94"/>
      <c r="X206" s="94"/>
      <c r="Y206" s="94"/>
      <c r="Z206" s="94"/>
    </row>
    <row r="207">
      <c r="A207" s="1"/>
      <c r="C207" s="44"/>
      <c r="E207" s="44"/>
      <c r="F207" s="94"/>
      <c r="G207" s="94"/>
      <c r="H207" s="94"/>
      <c r="I207" s="94"/>
      <c r="J207" s="94"/>
      <c r="K207" s="94"/>
      <c r="L207" s="94"/>
      <c r="M207" s="94"/>
      <c r="N207" s="94"/>
      <c r="O207" s="94"/>
      <c r="P207" s="94"/>
      <c r="Q207" s="94"/>
      <c r="R207" s="94"/>
      <c r="S207" s="94"/>
      <c r="T207" s="94"/>
      <c r="U207" s="94"/>
      <c r="V207" s="94"/>
      <c r="W207" s="94"/>
      <c r="X207" s="94"/>
      <c r="Y207" s="94"/>
      <c r="Z207" s="94"/>
    </row>
    <row r="208">
      <c r="A208" s="1"/>
      <c r="C208" s="44"/>
      <c r="E208" s="44"/>
      <c r="F208" s="94"/>
      <c r="G208" s="94"/>
      <c r="H208" s="94"/>
      <c r="I208" s="94"/>
      <c r="J208" s="94"/>
      <c r="K208" s="94"/>
      <c r="L208" s="94"/>
      <c r="M208" s="94"/>
      <c r="N208" s="94"/>
      <c r="O208" s="94"/>
      <c r="P208" s="94"/>
      <c r="Q208" s="94"/>
      <c r="R208" s="94"/>
      <c r="S208" s="94"/>
      <c r="T208" s="94"/>
      <c r="U208" s="94"/>
      <c r="V208" s="94"/>
      <c r="W208" s="94"/>
      <c r="X208" s="94"/>
      <c r="Y208" s="94"/>
      <c r="Z208" s="94"/>
    </row>
    <row r="209">
      <c r="A209" s="1"/>
      <c r="C209" s="44"/>
      <c r="E209" s="44"/>
      <c r="F209" s="94"/>
      <c r="G209" s="94"/>
      <c r="H209" s="94"/>
      <c r="I209" s="94"/>
      <c r="J209" s="94"/>
      <c r="K209" s="94"/>
      <c r="L209" s="94"/>
      <c r="M209" s="94"/>
      <c r="N209" s="94"/>
      <c r="O209" s="94"/>
      <c r="P209" s="94"/>
      <c r="Q209" s="94"/>
      <c r="R209" s="94"/>
      <c r="S209" s="94"/>
      <c r="T209" s="94"/>
      <c r="U209" s="94"/>
      <c r="V209" s="94"/>
      <c r="W209" s="94"/>
      <c r="X209" s="94"/>
      <c r="Y209" s="94"/>
      <c r="Z209" s="94"/>
    </row>
    <row r="210">
      <c r="A210" s="1"/>
      <c r="C210" s="44"/>
      <c r="E210" s="44"/>
      <c r="F210" s="94"/>
      <c r="G210" s="94"/>
      <c r="H210" s="94"/>
      <c r="I210" s="94"/>
      <c r="J210" s="94"/>
      <c r="K210" s="94"/>
      <c r="L210" s="94"/>
      <c r="M210" s="94"/>
      <c r="N210" s="94"/>
      <c r="O210" s="94"/>
      <c r="P210" s="94"/>
      <c r="Q210" s="94"/>
      <c r="R210" s="94"/>
      <c r="S210" s="94"/>
      <c r="T210" s="94"/>
      <c r="U210" s="94"/>
      <c r="V210" s="94"/>
      <c r="W210" s="94"/>
      <c r="X210" s="94"/>
      <c r="Y210" s="94"/>
      <c r="Z210" s="94"/>
    </row>
    <row r="211">
      <c r="A211" s="1"/>
      <c r="C211" s="44"/>
      <c r="E211" s="44"/>
      <c r="F211" s="94"/>
      <c r="G211" s="94"/>
      <c r="H211" s="94"/>
      <c r="I211" s="94"/>
      <c r="J211" s="94"/>
      <c r="K211" s="94"/>
      <c r="L211" s="94"/>
      <c r="M211" s="94"/>
      <c r="N211" s="94"/>
      <c r="O211" s="94"/>
      <c r="P211" s="94"/>
      <c r="Q211" s="94"/>
      <c r="R211" s="94"/>
      <c r="S211" s="94"/>
      <c r="T211" s="94"/>
      <c r="U211" s="94"/>
      <c r="V211" s="94"/>
      <c r="W211" s="94"/>
      <c r="X211" s="94"/>
      <c r="Y211" s="94"/>
      <c r="Z211" s="94"/>
    </row>
    <row r="212">
      <c r="A212" s="1"/>
      <c r="C212" s="44"/>
      <c r="E212" s="44"/>
      <c r="F212" s="94"/>
      <c r="G212" s="94"/>
      <c r="H212" s="94"/>
      <c r="I212" s="94"/>
      <c r="J212" s="94"/>
      <c r="K212" s="94"/>
      <c r="L212" s="94"/>
      <c r="M212" s="94"/>
      <c r="N212" s="94"/>
      <c r="O212" s="94"/>
      <c r="P212" s="94"/>
      <c r="Q212" s="94"/>
      <c r="R212" s="94"/>
      <c r="S212" s="94"/>
      <c r="T212" s="94"/>
      <c r="U212" s="94"/>
      <c r="V212" s="94"/>
      <c r="W212" s="94"/>
      <c r="X212" s="94"/>
      <c r="Y212" s="94"/>
      <c r="Z212" s="94"/>
    </row>
    <row r="213">
      <c r="A213" s="1"/>
      <c r="C213" s="44"/>
      <c r="E213" s="44"/>
      <c r="F213" s="94"/>
      <c r="G213" s="94"/>
      <c r="H213" s="94"/>
      <c r="I213" s="94"/>
      <c r="J213" s="94"/>
      <c r="K213" s="94"/>
      <c r="L213" s="94"/>
      <c r="M213" s="94"/>
      <c r="N213" s="94"/>
      <c r="O213" s="94"/>
      <c r="P213" s="94"/>
      <c r="Q213" s="94"/>
      <c r="R213" s="94"/>
      <c r="S213" s="94"/>
      <c r="T213" s="94"/>
      <c r="U213" s="94"/>
      <c r="V213" s="94"/>
      <c r="W213" s="94"/>
      <c r="X213" s="94"/>
      <c r="Y213" s="94"/>
      <c r="Z213" s="94"/>
    </row>
    <row r="214">
      <c r="A214" s="1"/>
      <c r="C214" s="44"/>
      <c r="E214" s="44"/>
      <c r="F214" s="94"/>
      <c r="G214" s="94"/>
      <c r="H214" s="94"/>
      <c r="I214" s="94"/>
      <c r="J214" s="94"/>
      <c r="K214" s="94"/>
      <c r="L214" s="94"/>
      <c r="M214" s="94"/>
      <c r="N214" s="94"/>
      <c r="O214" s="94"/>
      <c r="P214" s="94"/>
      <c r="Q214" s="94"/>
      <c r="R214" s="94"/>
      <c r="S214" s="94"/>
      <c r="T214" s="94"/>
      <c r="U214" s="94"/>
      <c r="V214" s="94"/>
      <c r="W214" s="94"/>
      <c r="X214" s="94"/>
      <c r="Y214" s="94"/>
      <c r="Z214" s="94"/>
    </row>
    <row r="215">
      <c r="A215" s="1"/>
      <c r="C215" s="44"/>
      <c r="E215" s="44"/>
      <c r="F215" s="94"/>
      <c r="G215" s="94"/>
      <c r="H215" s="94"/>
      <c r="I215" s="94"/>
      <c r="J215" s="94"/>
      <c r="K215" s="94"/>
      <c r="L215" s="94"/>
      <c r="M215" s="94"/>
      <c r="N215" s="94"/>
      <c r="O215" s="94"/>
      <c r="P215" s="94"/>
      <c r="Q215" s="94"/>
      <c r="R215" s="94"/>
      <c r="S215" s="94"/>
      <c r="T215" s="94"/>
      <c r="U215" s="94"/>
      <c r="V215" s="94"/>
      <c r="W215" s="94"/>
      <c r="X215" s="94"/>
      <c r="Y215" s="94"/>
      <c r="Z215" s="94"/>
    </row>
    <row r="216">
      <c r="A216" s="1"/>
      <c r="C216" s="44"/>
      <c r="E216" s="44"/>
      <c r="F216" s="94"/>
      <c r="G216" s="94"/>
      <c r="H216" s="94"/>
      <c r="I216" s="94"/>
      <c r="J216" s="94"/>
      <c r="K216" s="94"/>
      <c r="L216" s="94"/>
      <c r="M216" s="94"/>
      <c r="N216" s="94"/>
      <c r="O216" s="94"/>
      <c r="P216" s="94"/>
      <c r="Q216" s="94"/>
      <c r="R216" s="94"/>
      <c r="S216" s="94"/>
      <c r="T216" s="94"/>
      <c r="U216" s="94"/>
      <c r="V216" s="94"/>
      <c r="W216" s="94"/>
      <c r="X216" s="94"/>
      <c r="Y216" s="94"/>
      <c r="Z216" s="94"/>
    </row>
    <row r="217">
      <c r="A217" s="1"/>
      <c r="C217" s="44"/>
      <c r="E217" s="44"/>
      <c r="F217" s="94"/>
      <c r="G217" s="94"/>
      <c r="H217" s="94"/>
      <c r="I217" s="94"/>
      <c r="J217" s="94"/>
      <c r="K217" s="94"/>
      <c r="L217" s="94"/>
      <c r="M217" s="94"/>
      <c r="N217" s="94"/>
      <c r="O217" s="94"/>
      <c r="P217" s="94"/>
      <c r="Q217" s="94"/>
      <c r="R217" s="94"/>
      <c r="S217" s="94"/>
      <c r="T217" s="94"/>
      <c r="U217" s="94"/>
      <c r="V217" s="94"/>
      <c r="W217" s="94"/>
      <c r="X217" s="94"/>
      <c r="Y217" s="94"/>
      <c r="Z217" s="94"/>
    </row>
    <row r="218">
      <c r="A218" s="1"/>
      <c r="C218" s="44"/>
      <c r="E218" s="44"/>
      <c r="F218" s="94"/>
      <c r="G218" s="94"/>
      <c r="H218" s="94"/>
      <c r="I218" s="94"/>
      <c r="J218" s="94"/>
      <c r="K218" s="94"/>
      <c r="L218" s="94"/>
      <c r="M218" s="94"/>
      <c r="N218" s="94"/>
      <c r="O218" s="94"/>
      <c r="P218" s="94"/>
      <c r="Q218" s="94"/>
      <c r="R218" s="94"/>
      <c r="S218" s="94"/>
      <c r="T218" s="94"/>
      <c r="U218" s="94"/>
      <c r="V218" s="94"/>
      <c r="W218" s="94"/>
      <c r="X218" s="94"/>
      <c r="Y218" s="94"/>
      <c r="Z218" s="94"/>
    </row>
    <row r="219">
      <c r="A219" s="1"/>
      <c r="C219" s="44"/>
      <c r="E219" s="44"/>
      <c r="F219" s="94"/>
      <c r="G219" s="94"/>
      <c r="H219" s="94"/>
      <c r="I219" s="94"/>
      <c r="J219" s="94"/>
      <c r="K219" s="94"/>
      <c r="L219" s="94"/>
      <c r="M219" s="94"/>
      <c r="N219" s="94"/>
      <c r="O219" s="94"/>
      <c r="P219" s="94"/>
      <c r="Q219" s="94"/>
      <c r="R219" s="94"/>
      <c r="S219" s="94"/>
      <c r="T219" s="94"/>
      <c r="U219" s="94"/>
      <c r="V219" s="94"/>
      <c r="W219" s="94"/>
      <c r="X219" s="94"/>
      <c r="Y219" s="94"/>
      <c r="Z219" s="94"/>
    </row>
    <row r="220">
      <c r="A220" s="1"/>
      <c r="C220" s="44"/>
      <c r="E220" s="44"/>
      <c r="F220" s="94"/>
      <c r="G220" s="94"/>
      <c r="H220" s="94"/>
      <c r="I220" s="94"/>
      <c r="J220" s="94"/>
      <c r="K220" s="94"/>
      <c r="L220" s="94"/>
      <c r="M220" s="94"/>
      <c r="N220" s="94"/>
      <c r="O220" s="94"/>
      <c r="P220" s="94"/>
      <c r="Q220" s="94"/>
      <c r="R220" s="94"/>
      <c r="S220" s="94"/>
      <c r="T220" s="94"/>
      <c r="U220" s="94"/>
      <c r="V220" s="94"/>
      <c r="W220" s="94"/>
      <c r="X220" s="94"/>
      <c r="Y220" s="94"/>
      <c r="Z220" s="94"/>
    </row>
    <row r="221">
      <c r="A221" s="1"/>
      <c r="C221" s="44"/>
      <c r="E221" s="44"/>
      <c r="F221" s="94"/>
      <c r="G221" s="94"/>
      <c r="H221" s="94"/>
      <c r="I221" s="94"/>
      <c r="J221" s="94"/>
      <c r="K221" s="94"/>
      <c r="L221" s="94"/>
      <c r="M221" s="94"/>
      <c r="N221" s="94"/>
      <c r="O221" s="94"/>
      <c r="P221" s="94"/>
      <c r="Q221" s="94"/>
      <c r="R221" s="94"/>
      <c r="S221" s="94"/>
      <c r="T221" s="94"/>
      <c r="U221" s="94"/>
      <c r="V221" s="94"/>
      <c r="W221" s="94"/>
      <c r="X221" s="94"/>
      <c r="Y221" s="94"/>
      <c r="Z221" s="94"/>
    </row>
    <row r="222">
      <c r="A222" s="1"/>
      <c r="C222" s="44"/>
      <c r="E222" s="44"/>
      <c r="F222" s="94"/>
      <c r="G222" s="94"/>
      <c r="H222" s="94"/>
      <c r="I222" s="94"/>
      <c r="J222" s="94"/>
      <c r="K222" s="94"/>
      <c r="L222" s="94"/>
      <c r="M222" s="94"/>
      <c r="N222" s="94"/>
      <c r="O222" s="94"/>
      <c r="P222" s="94"/>
      <c r="Q222" s="94"/>
      <c r="R222" s="94"/>
      <c r="S222" s="94"/>
      <c r="T222" s="94"/>
      <c r="U222" s="94"/>
      <c r="V222" s="94"/>
      <c r="W222" s="94"/>
      <c r="X222" s="94"/>
      <c r="Y222" s="94"/>
      <c r="Z222" s="94"/>
    </row>
    <row r="223">
      <c r="A223" s="1"/>
      <c r="C223" s="44"/>
      <c r="E223" s="44"/>
      <c r="F223" s="94"/>
      <c r="G223" s="94"/>
      <c r="H223" s="94"/>
      <c r="I223" s="94"/>
      <c r="J223" s="94"/>
      <c r="K223" s="94"/>
      <c r="L223" s="94"/>
      <c r="M223" s="94"/>
      <c r="N223" s="94"/>
      <c r="O223" s="94"/>
      <c r="P223" s="94"/>
      <c r="Q223" s="94"/>
      <c r="R223" s="94"/>
      <c r="S223" s="94"/>
      <c r="T223" s="94"/>
      <c r="U223" s="94"/>
      <c r="V223" s="94"/>
      <c r="W223" s="94"/>
      <c r="X223" s="94"/>
      <c r="Y223" s="94"/>
      <c r="Z223" s="94"/>
    </row>
    <row r="224">
      <c r="A224" s="1"/>
      <c r="C224" s="44"/>
      <c r="E224" s="44"/>
      <c r="F224" s="94"/>
      <c r="G224" s="94"/>
      <c r="H224" s="94"/>
      <c r="I224" s="94"/>
      <c r="J224" s="94"/>
      <c r="K224" s="94"/>
      <c r="L224" s="94"/>
      <c r="M224" s="94"/>
      <c r="N224" s="94"/>
      <c r="O224" s="94"/>
      <c r="P224" s="94"/>
      <c r="Q224" s="94"/>
      <c r="R224" s="94"/>
      <c r="S224" s="94"/>
      <c r="T224" s="94"/>
      <c r="U224" s="94"/>
      <c r="V224" s="94"/>
      <c r="W224" s="94"/>
      <c r="X224" s="94"/>
      <c r="Y224" s="94"/>
      <c r="Z224" s="94"/>
    </row>
    <row r="225">
      <c r="A225" s="1"/>
      <c r="C225" s="44"/>
      <c r="E225" s="44"/>
      <c r="F225" s="94"/>
      <c r="G225" s="94"/>
      <c r="H225" s="94"/>
      <c r="I225" s="94"/>
      <c r="J225" s="94"/>
      <c r="K225" s="94"/>
      <c r="L225" s="94"/>
      <c r="M225" s="94"/>
      <c r="N225" s="94"/>
      <c r="O225" s="94"/>
      <c r="P225" s="94"/>
      <c r="Q225" s="94"/>
      <c r="R225" s="94"/>
      <c r="S225" s="94"/>
      <c r="T225" s="94"/>
      <c r="U225" s="94"/>
      <c r="V225" s="94"/>
      <c r="W225" s="94"/>
      <c r="X225" s="94"/>
      <c r="Y225" s="94"/>
      <c r="Z225" s="94"/>
    </row>
    <row r="226">
      <c r="A226" s="1"/>
      <c r="C226" s="44"/>
      <c r="E226" s="44"/>
      <c r="F226" s="94"/>
      <c r="G226" s="94"/>
      <c r="H226" s="94"/>
      <c r="I226" s="94"/>
      <c r="J226" s="94"/>
      <c r="K226" s="94"/>
      <c r="L226" s="94"/>
      <c r="M226" s="94"/>
      <c r="N226" s="94"/>
      <c r="O226" s="94"/>
      <c r="P226" s="94"/>
      <c r="Q226" s="94"/>
      <c r="R226" s="94"/>
      <c r="S226" s="94"/>
      <c r="T226" s="94"/>
      <c r="U226" s="94"/>
      <c r="V226" s="94"/>
      <c r="W226" s="94"/>
      <c r="X226" s="94"/>
      <c r="Y226" s="94"/>
      <c r="Z226" s="94"/>
    </row>
    <row r="227">
      <c r="A227" s="1"/>
      <c r="C227" s="44"/>
      <c r="E227" s="44"/>
      <c r="F227" s="94"/>
      <c r="G227" s="94"/>
      <c r="H227" s="94"/>
      <c r="I227" s="94"/>
      <c r="J227" s="94"/>
      <c r="K227" s="94"/>
      <c r="L227" s="94"/>
      <c r="M227" s="94"/>
      <c r="N227" s="94"/>
      <c r="O227" s="94"/>
      <c r="P227" s="94"/>
      <c r="Q227" s="94"/>
      <c r="R227" s="94"/>
      <c r="S227" s="94"/>
      <c r="T227" s="94"/>
      <c r="U227" s="94"/>
      <c r="V227" s="94"/>
      <c r="W227" s="94"/>
      <c r="X227" s="94"/>
      <c r="Y227" s="94"/>
      <c r="Z227" s="94"/>
    </row>
    <row r="228">
      <c r="A228" s="1"/>
      <c r="C228" s="44"/>
      <c r="E228" s="44"/>
      <c r="F228" s="94"/>
      <c r="G228" s="94"/>
      <c r="H228" s="94"/>
      <c r="I228" s="94"/>
      <c r="J228" s="94"/>
      <c r="K228" s="94"/>
      <c r="L228" s="94"/>
      <c r="M228" s="94"/>
      <c r="N228" s="94"/>
      <c r="O228" s="94"/>
      <c r="P228" s="94"/>
      <c r="Q228" s="94"/>
      <c r="R228" s="94"/>
      <c r="S228" s="94"/>
      <c r="T228" s="94"/>
      <c r="U228" s="94"/>
      <c r="V228" s="94"/>
      <c r="W228" s="94"/>
      <c r="X228" s="94"/>
      <c r="Y228" s="94"/>
      <c r="Z228" s="94"/>
    </row>
    <row r="229">
      <c r="A229" s="1"/>
      <c r="C229" s="44"/>
      <c r="E229" s="44"/>
      <c r="F229" s="94"/>
      <c r="G229" s="94"/>
      <c r="H229" s="94"/>
      <c r="I229" s="94"/>
      <c r="J229" s="94"/>
      <c r="K229" s="94"/>
      <c r="L229" s="94"/>
      <c r="M229" s="94"/>
      <c r="N229" s="94"/>
      <c r="O229" s="94"/>
      <c r="P229" s="94"/>
      <c r="Q229" s="94"/>
      <c r="R229" s="94"/>
      <c r="S229" s="94"/>
      <c r="T229" s="94"/>
      <c r="U229" s="94"/>
      <c r="V229" s="94"/>
      <c r="W229" s="94"/>
      <c r="X229" s="94"/>
      <c r="Y229" s="94"/>
      <c r="Z229" s="94"/>
    </row>
    <row r="230">
      <c r="A230" s="1"/>
      <c r="C230" s="44"/>
      <c r="E230" s="44"/>
      <c r="F230" s="94"/>
      <c r="G230" s="94"/>
      <c r="H230" s="94"/>
      <c r="I230" s="94"/>
      <c r="J230" s="94"/>
      <c r="K230" s="94"/>
      <c r="L230" s="94"/>
      <c r="M230" s="94"/>
      <c r="N230" s="94"/>
      <c r="O230" s="94"/>
      <c r="P230" s="94"/>
      <c r="Q230" s="94"/>
      <c r="R230" s="94"/>
      <c r="S230" s="94"/>
      <c r="T230" s="94"/>
      <c r="U230" s="94"/>
      <c r="V230" s="94"/>
      <c r="W230" s="94"/>
      <c r="X230" s="94"/>
      <c r="Y230" s="94"/>
      <c r="Z230" s="94"/>
    </row>
    <row r="231">
      <c r="A231" s="1"/>
      <c r="C231" s="44"/>
      <c r="E231" s="44"/>
      <c r="F231" s="94"/>
      <c r="G231" s="94"/>
      <c r="H231" s="94"/>
      <c r="I231" s="94"/>
      <c r="J231" s="94"/>
      <c r="K231" s="94"/>
      <c r="L231" s="94"/>
      <c r="M231" s="94"/>
      <c r="N231" s="94"/>
      <c r="O231" s="94"/>
      <c r="P231" s="94"/>
      <c r="Q231" s="94"/>
      <c r="R231" s="94"/>
      <c r="S231" s="94"/>
      <c r="T231" s="94"/>
      <c r="U231" s="94"/>
      <c r="V231" s="94"/>
      <c r="W231" s="94"/>
      <c r="X231" s="94"/>
      <c r="Y231" s="94"/>
      <c r="Z231" s="94"/>
    </row>
    <row r="232">
      <c r="A232" s="1"/>
      <c r="C232" s="44"/>
      <c r="E232" s="44"/>
      <c r="F232" s="94"/>
      <c r="G232" s="94"/>
      <c r="H232" s="94"/>
      <c r="I232" s="94"/>
      <c r="J232" s="94"/>
      <c r="K232" s="94"/>
      <c r="L232" s="94"/>
      <c r="M232" s="94"/>
      <c r="N232" s="94"/>
      <c r="O232" s="94"/>
      <c r="P232" s="94"/>
      <c r="Q232" s="94"/>
      <c r="R232" s="94"/>
      <c r="S232" s="94"/>
      <c r="T232" s="94"/>
      <c r="U232" s="94"/>
      <c r="V232" s="94"/>
      <c r="W232" s="94"/>
      <c r="X232" s="94"/>
      <c r="Y232" s="94"/>
      <c r="Z232" s="94"/>
    </row>
    <row r="233">
      <c r="A233" s="1"/>
      <c r="C233" s="44"/>
      <c r="E233" s="44"/>
      <c r="F233" s="94"/>
      <c r="G233" s="94"/>
      <c r="H233" s="94"/>
      <c r="I233" s="94"/>
      <c r="J233" s="94"/>
      <c r="K233" s="94"/>
      <c r="L233" s="94"/>
      <c r="M233" s="94"/>
      <c r="N233" s="94"/>
      <c r="O233" s="94"/>
      <c r="P233" s="94"/>
      <c r="Q233" s="94"/>
      <c r="R233" s="94"/>
      <c r="S233" s="94"/>
      <c r="T233" s="94"/>
      <c r="U233" s="94"/>
      <c r="V233" s="94"/>
      <c r="W233" s="94"/>
      <c r="X233" s="94"/>
      <c r="Y233" s="94"/>
      <c r="Z233" s="94"/>
    </row>
    <row r="234">
      <c r="A234" s="1"/>
      <c r="C234" s="44"/>
      <c r="E234" s="44"/>
      <c r="F234" s="94"/>
      <c r="G234" s="94"/>
      <c r="H234" s="94"/>
      <c r="I234" s="94"/>
      <c r="J234" s="94"/>
      <c r="K234" s="94"/>
      <c r="L234" s="94"/>
      <c r="M234" s="94"/>
      <c r="N234" s="94"/>
      <c r="O234" s="94"/>
      <c r="P234" s="94"/>
      <c r="Q234" s="94"/>
      <c r="R234" s="94"/>
      <c r="S234" s="94"/>
      <c r="T234" s="94"/>
      <c r="U234" s="94"/>
      <c r="V234" s="94"/>
      <c r="W234" s="94"/>
      <c r="X234" s="94"/>
      <c r="Y234" s="94"/>
      <c r="Z234" s="94"/>
    </row>
    <row r="235">
      <c r="A235" s="1"/>
      <c r="C235" s="44"/>
      <c r="E235" s="44"/>
      <c r="F235" s="94"/>
      <c r="G235" s="94"/>
      <c r="H235" s="94"/>
      <c r="I235" s="94"/>
      <c r="J235" s="94"/>
      <c r="K235" s="94"/>
      <c r="L235" s="94"/>
      <c r="M235" s="94"/>
      <c r="N235" s="94"/>
      <c r="O235" s="94"/>
      <c r="P235" s="94"/>
      <c r="Q235" s="94"/>
      <c r="R235" s="94"/>
      <c r="S235" s="94"/>
      <c r="T235" s="94"/>
      <c r="U235" s="94"/>
      <c r="V235" s="94"/>
      <c r="W235" s="94"/>
      <c r="X235" s="94"/>
      <c r="Y235" s="94"/>
      <c r="Z235" s="94"/>
    </row>
    <row r="236">
      <c r="A236" s="1"/>
      <c r="C236" s="44"/>
      <c r="E236" s="44"/>
      <c r="F236" s="94"/>
      <c r="G236" s="94"/>
      <c r="H236" s="94"/>
      <c r="I236" s="94"/>
      <c r="J236" s="94"/>
      <c r="K236" s="94"/>
      <c r="L236" s="94"/>
      <c r="M236" s="94"/>
      <c r="N236" s="94"/>
      <c r="O236" s="94"/>
      <c r="P236" s="94"/>
      <c r="Q236" s="94"/>
      <c r="R236" s="94"/>
      <c r="S236" s="94"/>
      <c r="T236" s="94"/>
      <c r="U236" s="94"/>
      <c r="V236" s="94"/>
      <c r="W236" s="94"/>
      <c r="X236" s="94"/>
      <c r="Y236" s="94"/>
      <c r="Z236" s="94"/>
    </row>
    <row r="237">
      <c r="A237" s="1"/>
      <c r="C237" s="44"/>
      <c r="E237" s="44"/>
      <c r="F237" s="94"/>
      <c r="G237" s="94"/>
      <c r="H237" s="94"/>
      <c r="I237" s="94"/>
      <c r="J237" s="94"/>
      <c r="K237" s="94"/>
      <c r="L237" s="94"/>
      <c r="M237" s="94"/>
      <c r="N237" s="94"/>
      <c r="O237" s="94"/>
      <c r="P237" s="94"/>
      <c r="Q237" s="94"/>
      <c r="R237" s="94"/>
      <c r="S237" s="94"/>
      <c r="T237" s="94"/>
      <c r="U237" s="94"/>
      <c r="V237" s="94"/>
      <c r="W237" s="94"/>
      <c r="X237" s="94"/>
      <c r="Y237" s="94"/>
      <c r="Z237" s="94"/>
    </row>
    <row r="238">
      <c r="A238" s="1"/>
      <c r="C238" s="44"/>
      <c r="E238" s="44"/>
      <c r="F238" s="94"/>
      <c r="G238" s="94"/>
      <c r="H238" s="94"/>
      <c r="I238" s="94"/>
      <c r="J238" s="94"/>
      <c r="K238" s="94"/>
      <c r="L238" s="94"/>
      <c r="M238" s="94"/>
      <c r="N238" s="94"/>
      <c r="O238" s="94"/>
      <c r="P238" s="94"/>
      <c r="Q238" s="94"/>
      <c r="R238" s="94"/>
      <c r="S238" s="94"/>
      <c r="T238" s="94"/>
      <c r="U238" s="94"/>
      <c r="V238" s="94"/>
      <c r="W238" s="94"/>
      <c r="X238" s="94"/>
      <c r="Y238" s="94"/>
      <c r="Z238" s="94"/>
    </row>
    <row r="239">
      <c r="A239" s="1"/>
      <c r="C239" s="44"/>
      <c r="E239" s="44"/>
      <c r="F239" s="94"/>
      <c r="G239" s="94"/>
      <c r="H239" s="94"/>
      <c r="I239" s="94"/>
      <c r="J239" s="94"/>
      <c r="K239" s="94"/>
      <c r="L239" s="94"/>
      <c r="M239" s="94"/>
      <c r="N239" s="94"/>
      <c r="O239" s="94"/>
      <c r="P239" s="94"/>
      <c r="Q239" s="94"/>
      <c r="R239" s="94"/>
      <c r="S239" s="94"/>
      <c r="T239" s="94"/>
      <c r="U239" s="94"/>
      <c r="V239" s="94"/>
      <c r="W239" s="94"/>
      <c r="X239" s="94"/>
      <c r="Y239" s="94"/>
      <c r="Z239" s="94"/>
    </row>
    <row r="240">
      <c r="A240" s="1"/>
      <c r="C240" s="44"/>
      <c r="E240" s="44"/>
      <c r="F240" s="94"/>
      <c r="G240" s="94"/>
      <c r="H240" s="94"/>
      <c r="I240" s="94"/>
      <c r="J240" s="94"/>
      <c r="K240" s="94"/>
      <c r="L240" s="94"/>
      <c r="M240" s="94"/>
      <c r="N240" s="94"/>
      <c r="O240" s="94"/>
      <c r="P240" s="94"/>
      <c r="Q240" s="94"/>
      <c r="R240" s="94"/>
      <c r="S240" s="94"/>
      <c r="T240" s="94"/>
      <c r="U240" s="94"/>
      <c r="V240" s="94"/>
      <c r="W240" s="94"/>
      <c r="X240" s="94"/>
      <c r="Y240" s="94"/>
      <c r="Z240" s="94"/>
    </row>
    <row r="241">
      <c r="A241" s="1"/>
      <c r="C241" s="44"/>
      <c r="E241" s="44"/>
      <c r="F241" s="94"/>
      <c r="G241" s="94"/>
      <c r="H241" s="94"/>
      <c r="I241" s="94"/>
      <c r="J241" s="94"/>
      <c r="K241" s="94"/>
      <c r="L241" s="94"/>
      <c r="M241" s="94"/>
      <c r="N241" s="94"/>
      <c r="O241" s="94"/>
      <c r="P241" s="94"/>
      <c r="Q241" s="94"/>
      <c r="R241" s="94"/>
      <c r="S241" s="94"/>
      <c r="T241" s="94"/>
      <c r="U241" s="94"/>
      <c r="V241" s="94"/>
      <c r="W241" s="94"/>
      <c r="X241" s="94"/>
      <c r="Y241" s="94"/>
      <c r="Z241" s="94"/>
    </row>
    <row r="242">
      <c r="A242" s="1"/>
      <c r="C242" s="44"/>
      <c r="E242" s="44"/>
      <c r="F242" s="94"/>
      <c r="G242" s="94"/>
      <c r="H242" s="94"/>
      <c r="I242" s="94"/>
      <c r="J242" s="94"/>
      <c r="K242" s="94"/>
      <c r="L242" s="94"/>
      <c r="M242" s="94"/>
      <c r="N242" s="94"/>
      <c r="O242" s="94"/>
      <c r="P242" s="94"/>
      <c r="Q242" s="94"/>
      <c r="R242" s="94"/>
      <c r="S242" s="94"/>
      <c r="T242" s="94"/>
      <c r="U242" s="94"/>
      <c r="V242" s="94"/>
      <c r="W242" s="94"/>
      <c r="X242" s="94"/>
      <c r="Y242" s="94"/>
      <c r="Z242" s="94"/>
    </row>
    <row r="243">
      <c r="A243" s="1"/>
      <c r="C243" s="44"/>
      <c r="E243" s="44"/>
      <c r="F243" s="94"/>
      <c r="G243" s="94"/>
      <c r="H243" s="94"/>
      <c r="I243" s="94"/>
      <c r="J243" s="94"/>
      <c r="K243" s="94"/>
      <c r="L243" s="94"/>
      <c r="M243" s="94"/>
      <c r="N243" s="94"/>
      <c r="O243" s="94"/>
      <c r="P243" s="94"/>
      <c r="Q243" s="94"/>
      <c r="R243" s="94"/>
      <c r="S243" s="94"/>
      <c r="T243" s="94"/>
      <c r="U243" s="94"/>
      <c r="V243" s="94"/>
      <c r="W243" s="94"/>
      <c r="X243" s="94"/>
      <c r="Y243" s="94"/>
      <c r="Z243" s="94"/>
    </row>
    <row r="244">
      <c r="A244" s="1"/>
      <c r="C244" s="44"/>
      <c r="E244" s="44"/>
      <c r="F244" s="94"/>
      <c r="G244" s="94"/>
      <c r="H244" s="94"/>
      <c r="I244" s="94"/>
      <c r="J244" s="94"/>
      <c r="K244" s="94"/>
      <c r="L244" s="94"/>
      <c r="M244" s="94"/>
      <c r="N244" s="94"/>
      <c r="O244" s="94"/>
      <c r="P244" s="94"/>
      <c r="Q244" s="94"/>
      <c r="R244" s="94"/>
      <c r="S244" s="94"/>
      <c r="T244" s="94"/>
      <c r="U244" s="94"/>
      <c r="V244" s="94"/>
      <c r="W244" s="94"/>
      <c r="X244" s="94"/>
      <c r="Y244" s="94"/>
      <c r="Z244" s="94"/>
    </row>
    <row r="245">
      <c r="A245" s="1"/>
      <c r="C245" s="44"/>
      <c r="E245" s="44"/>
      <c r="F245" s="94"/>
      <c r="G245" s="94"/>
      <c r="H245" s="94"/>
      <c r="I245" s="94"/>
      <c r="J245" s="94"/>
      <c r="K245" s="94"/>
      <c r="L245" s="94"/>
      <c r="M245" s="94"/>
      <c r="N245" s="94"/>
      <c r="O245" s="94"/>
      <c r="P245" s="94"/>
      <c r="Q245" s="94"/>
      <c r="R245" s="94"/>
      <c r="S245" s="94"/>
      <c r="T245" s="94"/>
      <c r="U245" s="94"/>
      <c r="V245" s="94"/>
      <c r="W245" s="94"/>
      <c r="X245" s="94"/>
      <c r="Y245" s="94"/>
      <c r="Z245" s="94"/>
    </row>
    <row r="246">
      <c r="A246" s="1"/>
      <c r="C246" s="44"/>
      <c r="E246" s="44"/>
      <c r="F246" s="94"/>
      <c r="G246" s="94"/>
      <c r="H246" s="94"/>
      <c r="I246" s="94"/>
      <c r="J246" s="94"/>
      <c r="K246" s="94"/>
      <c r="L246" s="94"/>
      <c r="M246" s="94"/>
      <c r="N246" s="94"/>
      <c r="O246" s="94"/>
      <c r="P246" s="94"/>
      <c r="Q246" s="94"/>
      <c r="R246" s="94"/>
      <c r="S246" s="94"/>
      <c r="T246" s="94"/>
      <c r="U246" s="94"/>
      <c r="V246" s="94"/>
      <c r="W246" s="94"/>
      <c r="X246" s="94"/>
      <c r="Y246" s="94"/>
      <c r="Z246" s="94"/>
    </row>
    <row r="247">
      <c r="A247" s="1"/>
      <c r="C247" s="44"/>
      <c r="E247" s="44"/>
      <c r="F247" s="94"/>
      <c r="G247" s="94"/>
      <c r="H247" s="94"/>
      <c r="I247" s="94"/>
      <c r="J247" s="94"/>
      <c r="K247" s="94"/>
      <c r="L247" s="94"/>
      <c r="M247" s="94"/>
      <c r="N247" s="94"/>
      <c r="O247" s="94"/>
      <c r="P247" s="94"/>
      <c r="Q247" s="94"/>
      <c r="R247" s="94"/>
      <c r="S247" s="94"/>
      <c r="T247" s="94"/>
      <c r="U247" s="94"/>
      <c r="V247" s="94"/>
      <c r="W247" s="94"/>
      <c r="X247" s="94"/>
      <c r="Y247" s="94"/>
      <c r="Z247" s="94"/>
    </row>
    <row r="248">
      <c r="A248" s="1"/>
      <c r="C248" s="44"/>
      <c r="E248" s="44"/>
      <c r="F248" s="94"/>
      <c r="G248" s="94"/>
      <c r="H248" s="94"/>
      <c r="I248" s="94"/>
      <c r="J248" s="94"/>
      <c r="K248" s="94"/>
      <c r="L248" s="94"/>
      <c r="M248" s="94"/>
      <c r="N248" s="94"/>
      <c r="O248" s="94"/>
      <c r="P248" s="94"/>
      <c r="Q248" s="94"/>
      <c r="R248" s="94"/>
      <c r="S248" s="94"/>
      <c r="T248" s="94"/>
      <c r="U248" s="94"/>
      <c r="V248" s="94"/>
      <c r="W248" s="94"/>
      <c r="X248" s="94"/>
      <c r="Y248" s="94"/>
      <c r="Z248" s="94"/>
    </row>
    <row r="249">
      <c r="A249" s="1"/>
      <c r="C249" s="44"/>
      <c r="E249" s="44"/>
      <c r="F249" s="94"/>
      <c r="G249" s="94"/>
      <c r="H249" s="94"/>
      <c r="I249" s="94"/>
      <c r="J249" s="94"/>
      <c r="K249" s="94"/>
      <c r="L249" s="94"/>
      <c r="M249" s="94"/>
      <c r="N249" s="94"/>
      <c r="O249" s="94"/>
      <c r="P249" s="94"/>
      <c r="Q249" s="94"/>
      <c r="R249" s="94"/>
      <c r="S249" s="94"/>
      <c r="T249" s="94"/>
      <c r="U249" s="94"/>
      <c r="V249" s="94"/>
      <c r="W249" s="94"/>
      <c r="X249" s="94"/>
      <c r="Y249" s="94"/>
      <c r="Z249" s="94"/>
    </row>
    <row r="250">
      <c r="A250" s="1"/>
      <c r="C250" s="44"/>
      <c r="E250" s="44"/>
      <c r="F250" s="94"/>
      <c r="G250" s="94"/>
      <c r="H250" s="94"/>
      <c r="I250" s="94"/>
      <c r="J250" s="94"/>
      <c r="K250" s="94"/>
      <c r="L250" s="94"/>
      <c r="M250" s="94"/>
      <c r="N250" s="94"/>
      <c r="O250" s="94"/>
      <c r="P250" s="94"/>
      <c r="Q250" s="94"/>
      <c r="R250" s="94"/>
      <c r="S250" s="94"/>
      <c r="T250" s="94"/>
      <c r="U250" s="94"/>
      <c r="V250" s="94"/>
      <c r="W250" s="94"/>
      <c r="X250" s="94"/>
      <c r="Y250" s="94"/>
      <c r="Z250" s="94"/>
    </row>
    <row r="251">
      <c r="A251" s="1"/>
      <c r="C251" s="44"/>
      <c r="E251" s="44"/>
      <c r="F251" s="94"/>
      <c r="G251" s="94"/>
      <c r="H251" s="94"/>
      <c r="I251" s="94"/>
      <c r="J251" s="94"/>
      <c r="K251" s="94"/>
      <c r="L251" s="94"/>
      <c r="M251" s="94"/>
      <c r="N251" s="94"/>
      <c r="O251" s="94"/>
      <c r="P251" s="94"/>
      <c r="Q251" s="94"/>
      <c r="R251" s="94"/>
      <c r="S251" s="94"/>
      <c r="T251" s="94"/>
      <c r="U251" s="94"/>
      <c r="V251" s="94"/>
      <c r="W251" s="94"/>
      <c r="X251" s="94"/>
      <c r="Y251" s="94"/>
      <c r="Z251" s="94"/>
    </row>
    <row r="252">
      <c r="A252" s="1"/>
      <c r="C252" s="44"/>
      <c r="E252" s="44"/>
      <c r="F252" s="94"/>
      <c r="G252" s="94"/>
      <c r="H252" s="94"/>
      <c r="I252" s="94"/>
      <c r="J252" s="94"/>
      <c r="K252" s="94"/>
      <c r="L252" s="94"/>
      <c r="M252" s="94"/>
      <c r="N252" s="94"/>
      <c r="O252" s="94"/>
      <c r="P252" s="94"/>
      <c r="Q252" s="94"/>
      <c r="R252" s="94"/>
      <c r="S252" s="94"/>
      <c r="T252" s="94"/>
      <c r="U252" s="94"/>
      <c r="V252" s="94"/>
      <c r="W252" s="94"/>
      <c r="X252" s="94"/>
      <c r="Y252" s="94"/>
      <c r="Z252" s="94"/>
    </row>
    <row r="253">
      <c r="A253" s="1"/>
      <c r="C253" s="44"/>
      <c r="E253" s="44"/>
      <c r="F253" s="94"/>
      <c r="G253" s="94"/>
      <c r="H253" s="94"/>
      <c r="I253" s="94"/>
      <c r="J253" s="94"/>
      <c r="K253" s="94"/>
      <c r="L253" s="94"/>
      <c r="M253" s="94"/>
      <c r="N253" s="94"/>
      <c r="O253" s="94"/>
      <c r="P253" s="94"/>
      <c r="Q253" s="94"/>
      <c r="R253" s="94"/>
      <c r="S253" s="94"/>
      <c r="T253" s="94"/>
      <c r="U253" s="94"/>
      <c r="V253" s="94"/>
      <c r="W253" s="94"/>
      <c r="X253" s="94"/>
      <c r="Y253" s="94"/>
      <c r="Z253" s="94"/>
    </row>
    <row r="254">
      <c r="A254" s="1"/>
      <c r="C254" s="44"/>
      <c r="E254" s="44"/>
      <c r="F254" s="94"/>
      <c r="G254" s="94"/>
      <c r="H254" s="94"/>
      <c r="I254" s="94"/>
      <c r="J254" s="94"/>
      <c r="K254" s="94"/>
      <c r="L254" s="94"/>
      <c r="M254" s="94"/>
      <c r="N254" s="94"/>
      <c r="O254" s="94"/>
      <c r="P254" s="94"/>
      <c r="Q254" s="94"/>
      <c r="R254" s="94"/>
      <c r="S254" s="94"/>
      <c r="T254" s="94"/>
      <c r="U254" s="94"/>
      <c r="V254" s="94"/>
      <c r="W254" s="94"/>
      <c r="X254" s="94"/>
      <c r="Y254" s="94"/>
      <c r="Z254" s="94"/>
    </row>
    <row r="255">
      <c r="A255" s="1"/>
      <c r="C255" s="44"/>
      <c r="E255" s="44"/>
      <c r="F255" s="94"/>
      <c r="G255" s="94"/>
      <c r="H255" s="94"/>
      <c r="I255" s="94"/>
      <c r="J255" s="94"/>
      <c r="K255" s="94"/>
      <c r="L255" s="94"/>
      <c r="M255" s="94"/>
      <c r="N255" s="94"/>
      <c r="O255" s="94"/>
      <c r="P255" s="94"/>
      <c r="Q255" s="94"/>
      <c r="R255" s="94"/>
      <c r="S255" s="94"/>
      <c r="T255" s="94"/>
      <c r="U255" s="94"/>
      <c r="V255" s="94"/>
      <c r="W255" s="94"/>
      <c r="X255" s="94"/>
      <c r="Y255" s="94"/>
      <c r="Z255" s="94"/>
    </row>
    <row r="256">
      <c r="A256" s="1"/>
      <c r="C256" s="44"/>
      <c r="E256" s="44"/>
      <c r="F256" s="94"/>
      <c r="G256" s="94"/>
      <c r="H256" s="94"/>
      <c r="I256" s="94"/>
      <c r="J256" s="94"/>
      <c r="K256" s="94"/>
      <c r="L256" s="94"/>
      <c r="M256" s="94"/>
      <c r="N256" s="94"/>
      <c r="O256" s="94"/>
      <c r="P256" s="94"/>
      <c r="Q256" s="94"/>
      <c r="R256" s="94"/>
      <c r="S256" s="94"/>
      <c r="T256" s="94"/>
      <c r="U256" s="94"/>
      <c r="V256" s="94"/>
      <c r="W256" s="94"/>
      <c r="X256" s="94"/>
      <c r="Y256" s="94"/>
      <c r="Z256" s="94"/>
    </row>
    <row r="257">
      <c r="A257" s="1"/>
      <c r="C257" s="44"/>
      <c r="E257" s="44"/>
      <c r="F257" s="94"/>
      <c r="G257" s="94"/>
      <c r="H257" s="94"/>
      <c r="I257" s="94"/>
      <c r="J257" s="94"/>
      <c r="K257" s="94"/>
      <c r="L257" s="94"/>
      <c r="M257" s="94"/>
      <c r="N257" s="94"/>
      <c r="O257" s="94"/>
      <c r="P257" s="94"/>
      <c r="Q257" s="94"/>
      <c r="R257" s="94"/>
      <c r="S257" s="94"/>
      <c r="T257" s="94"/>
      <c r="U257" s="94"/>
      <c r="V257" s="94"/>
      <c r="W257" s="94"/>
      <c r="X257" s="94"/>
      <c r="Y257" s="94"/>
      <c r="Z257" s="94"/>
    </row>
    <row r="258">
      <c r="A258" s="1"/>
      <c r="C258" s="44"/>
      <c r="E258" s="44"/>
      <c r="F258" s="94"/>
      <c r="G258" s="94"/>
      <c r="H258" s="94"/>
      <c r="I258" s="94"/>
      <c r="J258" s="94"/>
      <c r="K258" s="94"/>
      <c r="L258" s="94"/>
      <c r="M258" s="94"/>
      <c r="N258" s="94"/>
      <c r="O258" s="94"/>
      <c r="P258" s="94"/>
      <c r="Q258" s="94"/>
      <c r="R258" s="94"/>
      <c r="S258" s="94"/>
      <c r="T258" s="94"/>
      <c r="U258" s="94"/>
      <c r="V258" s="94"/>
      <c r="W258" s="94"/>
      <c r="X258" s="94"/>
      <c r="Y258" s="94"/>
      <c r="Z258" s="94"/>
    </row>
    <row r="259">
      <c r="A259" s="1"/>
      <c r="C259" s="44"/>
      <c r="E259" s="44"/>
      <c r="F259" s="94"/>
      <c r="G259" s="94"/>
      <c r="H259" s="94"/>
      <c r="I259" s="94"/>
      <c r="J259" s="94"/>
      <c r="K259" s="94"/>
      <c r="L259" s="94"/>
      <c r="M259" s="94"/>
      <c r="N259" s="94"/>
      <c r="O259" s="94"/>
      <c r="P259" s="94"/>
      <c r="Q259" s="94"/>
      <c r="R259" s="94"/>
      <c r="S259" s="94"/>
      <c r="T259" s="94"/>
      <c r="U259" s="94"/>
      <c r="V259" s="94"/>
      <c r="W259" s="94"/>
      <c r="X259" s="94"/>
      <c r="Y259" s="94"/>
      <c r="Z259" s="94"/>
    </row>
    <row r="260">
      <c r="A260" s="1"/>
      <c r="C260" s="44"/>
      <c r="E260" s="44"/>
      <c r="F260" s="94"/>
      <c r="G260" s="94"/>
      <c r="H260" s="94"/>
      <c r="I260" s="94"/>
      <c r="J260" s="94"/>
      <c r="K260" s="94"/>
      <c r="L260" s="94"/>
      <c r="M260" s="94"/>
      <c r="N260" s="94"/>
      <c r="O260" s="94"/>
      <c r="P260" s="94"/>
      <c r="Q260" s="94"/>
      <c r="R260" s="94"/>
      <c r="S260" s="94"/>
      <c r="T260" s="94"/>
      <c r="U260" s="94"/>
      <c r="V260" s="94"/>
      <c r="W260" s="94"/>
      <c r="X260" s="94"/>
      <c r="Y260" s="94"/>
      <c r="Z260" s="94"/>
    </row>
    <row r="261">
      <c r="A261" s="1"/>
      <c r="C261" s="44"/>
      <c r="E261" s="44"/>
      <c r="F261" s="94"/>
      <c r="G261" s="94"/>
      <c r="H261" s="94"/>
      <c r="I261" s="94"/>
      <c r="J261" s="94"/>
      <c r="K261" s="94"/>
      <c r="L261" s="94"/>
      <c r="M261" s="94"/>
      <c r="N261" s="94"/>
      <c r="O261" s="94"/>
      <c r="P261" s="94"/>
      <c r="Q261" s="94"/>
      <c r="R261" s="94"/>
      <c r="S261" s="94"/>
      <c r="T261" s="94"/>
      <c r="U261" s="94"/>
      <c r="V261" s="94"/>
      <c r="W261" s="94"/>
      <c r="X261" s="94"/>
      <c r="Y261" s="94"/>
      <c r="Z261" s="94"/>
    </row>
    <row r="262">
      <c r="A262" s="1"/>
      <c r="C262" s="44"/>
      <c r="E262" s="44"/>
      <c r="F262" s="94"/>
      <c r="G262" s="94"/>
      <c r="H262" s="94"/>
      <c r="I262" s="94"/>
      <c r="J262" s="94"/>
      <c r="K262" s="94"/>
      <c r="L262" s="94"/>
      <c r="M262" s="94"/>
      <c r="N262" s="94"/>
      <c r="O262" s="94"/>
      <c r="P262" s="94"/>
      <c r="Q262" s="94"/>
      <c r="R262" s="94"/>
      <c r="S262" s="94"/>
      <c r="T262" s="94"/>
      <c r="U262" s="94"/>
      <c r="V262" s="94"/>
      <c r="W262" s="94"/>
      <c r="X262" s="94"/>
      <c r="Y262" s="94"/>
      <c r="Z262" s="94"/>
    </row>
    <row r="263">
      <c r="A263" s="1"/>
      <c r="C263" s="44"/>
      <c r="E263" s="44"/>
      <c r="F263" s="94"/>
      <c r="G263" s="94"/>
      <c r="H263" s="94"/>
      <c r="I263" s="94"/>
      <c r="J263" s="94"/>
      <c r="K263" s="94"/>
      <c r="L263" s="94"/>
      <c r="M263" s="94"/>
      <c r="N263" s="94"/>
      <c r="O263" s="94"/>
      <c r="P263" s="94"/>
      <c r="Q263" s="94"/>
      <c r="R263" s="94"/>
      <c r="S263" s="94"/>
      <c r="T263" s="94"/>
      <c r="U263" s="94"/>
      <c r="V263" s="94"/>
      <c r="W263" s="94"/>
      <c r="X263" s="94"/>
      <c r="Y263" s="94"/>
      <c r="Z263" s="94"/>
    </row>
    <row r="264">
      <c r="A264" s="1"/>
      <c r="C264" s="44"/>
      <c r="E264" s="44"/>
      <c r="F264" s="94"/>
      <c r="G264" s="94"/>
      <c r="H264" s="94"/>
      <c r="I264" s="94"/>
      <c r="J264" s="94"/>
      <c r="K264" s="94"/>
      <c r="L264" s="94"/>
      <c r="M264" s="94"/>
      <c r="N264" s="94"/>
      <c r="O264" s="94"/>
      <c r="P264" s="94"/>
      <c r="Q264" s="94"/>
      <c r="R264" s="94"/>
      <c r="S264" s="94"/>
      <c r="T264" s="94"/>
      <c r="U264" s="94"/>
      <c r="V264" s="94"/>
      <c r="W264" s="94"/>
      <c r="X264" s="94"/>
      <c r="Y264" s="94"/>
      <c r="Z264" s="94"/>
    </row>
    <row r="265">
      <c r="A265" s="1"/>
      <c r="C265" s="44"/>
      <c r="E265" s="44"/>
      <c r="F265" s="94"/>
      <c r="G265" s="94"/>
      <c r="H265" s="94"/>
      <c r="I265" s="94"/>
      <c r="J265" s="94"/>
      <c r="K265" s="94"/>
      <c r="L265" s="94"/>
      <c r="M265" s="94"/>
      <c r="N265" s="94"/>
      <c r="O265" s="94"/>
      <c r="P265" s="94"/>
      <c r="Q265" s="94"/>
      <c r="R265" s="94"/>
      <c r="S265" s="94"/>
      <c r="T265" s="94"/>
      <c r="U265" s="94"/>
      <c r="V265" s="94"/>
      <c r="W265" s="94"/>
      <c r="X265" s="94"/>
      <c r="Y265" s="94"/>
      <c r="Z265" s="94"/>
    </row>
    <row r="266">
      <c r="A266" s="1"/>
      <c r="C266" s="44"/>
      <c r="E266" s="44"/>
      <c r="F266" s="94"/>
      <c r="G266" s="94"/>
      <c r="H266" s="94"/>
      <c r="I266" s="94"/>
      <c r="J266" s="94"/>
      <c r="K266" s="94"/>
      <c r="L266" s="94"/>
      <c r="M266" s="94"/>
      <c r="N266" s="94"/>
      <c r="O266" s="94"/>
      <c r="P266" s="94"/>
      <c r="Q266" s="94"/>
      <c r="R266" s="94"/>
      <c r="S266" s="94"/>
      <c r="T266" s="94"/>
      <c r="U266" s="94"/>
      <c r="V266" s="94"/>
      <c r="W266" s="94"/>
      <c r="X266" s="94"/>
      <c r="Y266" s="94"/>
      <c r="Z266" s="94"/>
    </row>
    <row r="267">
      <c r="A267" s="1"/>
      <c r="C267" s="44"/>
      <c r="E267" s="44"/>
      <c r="F267" s="94"/>
      <c r="G267" s="94"/>
      <c r="H267" s="94"/>
      <c r="I267" s="94"/>
      <c r="J267" s="94"/>
      <c r="K267" s="94"/>
      <c r="L267" s="94"/>
      <c r="M267" s="94"/>
      <c r="N267" s="94"/>
      <c r="O267" s="94"/>
      <c r="P267" s="94"/>
      <c r="Q267" s="94"/>
      <c r="R267" s="94"/>
      <c r="S267" s="94"/>
      <c r="T267" s="94"/>
      <c r="U267" s="94"/>
      <c r="V267" s="94"/>
      <c r="W267" s="94"/>
      <c r="X267" s="94"/>
      <c r="Y267" s="94"/>
      <c r="Z267" s="94"/>
    </row>
    <row r="268">
      <c r="A268" s="1"/>
      <c r="C268" s="44"/>
      <c r="E268" s="44"/>
      <c r="F268" s="94"/>
      <c r="G268" s="94"/>
      <c r="H268" s="94"/>
      <c r="I268" s="94"/>
      <c r="J268" s="94"/>
      <c r="K268" s="94"/>
      <c r="L268" s="94"/>
      <c r="M268" s="94"/>
      <c r="N268" s="94"/>
      <c r="O268" s="94"/>
      <c r="P268" s="94"/>
      <c r="Q268" s="94"/>
      <c r="R268" s="94"/>
      <c r="S268" s="94"/>
      <c r="T268" s="94"/>
      <c r="U268" s="94"/>
      <c r="V268" s="94"/>
      <c r="W268" s="94"/>
      <c r="X268" s="94"/>
      <c r="Y268" s="94"/>
      <c r="Z268" s="94"/>
    </row>
    <row r="269">
      <c r="A269" s="1"/>
      <c r="C269" s="44"/>
      <c r="E269" s="44"/>
      <c r="F269" s="94"/>
      <c r="G269" s="94"/>
      <c r="H269" s="94"/>
      <c r="I269" s="94"/>
      <c r="J269" s="94"/>
      <c r="K269" s="94"/>
      <c r="L269" s="94"/>
      <c r="M269" s="94"/>
      <c r="N269" s="94"/>
      <c r="O269" s="94"/>
      <c r="P269" s="94"/>
      <c r="Q269" s="94"/>
      <c r="R269" s="94"/>
      <c r="S269" s="94"/>
      <c r="T269" s="94"/>
      <c r="U269" s="94"/>
      <c r="V269" s="94"/>
      <c r="W269" s="94"/>
      <c r="X269" s="94"/>
      <c r="Y269" s="94"/>
      <c r="Z269" s="94"/>
    </row>
    <row r="270">
      <c r="A270" s="1"/>
      <c r="C270" s="44"/>
      <c r="E270" s="44"/>
      <c r="F270" s="94"/>
      <c r="G270" s="94"/>
      <c r="H270" s="94"/>
      <c r="I270" s="94"/>
      <c r="J270" s="94"/>
      <c r="K270" s="94"/>
      <c r="L270" s="94"/>
      <c r="M270" s="94"/>
      <c r="N270" s="94"/>
      <c r="O270" s="94"/>
      <c r="P270" s="94"/>
      <c r="Q270" s="94"/>
      <c r="R270" s="94"/>
      <c r="S270" s="94"/>
      <c r="T270" s="94"/>
      <c r="U270" s="94"/>
      <c r="V270" s="94"/>
      <c r="W270" s="94"/>
      <c r="X270" s="94"/>
      <c r="Y270" s="94"/>
      <c r="Z270" s="94"/>
    </row>
    <row r="271">
      <c r="A271" s="1"/>
      <c r="C271" s="44"/>
      <c r="E271" s="44"/>
      <c r="F271" s="94"/>
      <c r="G271" s="94"/>
      <c r="H271" s="94"/>
      <c r="I271" s="94"/>
      <c r="J271" s="94"/>
      <c r="K271" s="94"/>
      <c r="L271" s="94"/>
      <c r="M271" s="94"/>
      <c r="N271" s="94"/>
      <c r="O271" s="94"/>
      <c r="P271" s="94"/>
      <c r="Q271" s="94"/>
      <c r="R271" s="94"/>
      <c r="S271" s="94"/>
      <c r="T271" s="94"/>
      <c r="U271" s="94"/>
      <c r="V271" s="94"/>
      <c r="W271" s="94"/>
      <c r="X271" s="94"/>
      <c r="Y271" s="94"/>
      <c r="Z271" s="94"/>
    </row>
    <row r="272">
      <c r="A272" s="1"/>
      <c r="C272" s="44"/>
      <c r="E272" s="44"/>
      <c r="F272" s="94"/>
      <c r="G272" s="94"/>
      <c r="H272" s="94"/>
      <c r="I272" s="94"/>
      <c r="J272" s="94"/>
      <c r="K272" s="94"/>
      <c r="L272" s="94"/>
      <c r="M272" s="94"/>
      <c r="N272" s="94"/>
      <c r="O272" s="94"/>
      <c r="P272" s="94"/>
      <c r="Q272" s="94"/>
      <c r="R272" s="94"/>
      <c r="S272" s="94"/>
      <c r="T272" s="94"/>
      <c r="U272" s="94"/>
      <c r="V272" s="94"/>
      <c r="W272" s="94"/>
      <c r="X272" s="94"/>
      <c r="Y272" s="94"/>
      <c r="Z272" s="94"/>
    </row>
    <row r="273">
      <c r="A273" s="1"/>
      <c r="C273" s="44"/>
      <c r="E273" s="44"/>
      <c r="F273" s="94"/>
      <c r="G273" s="94"/>
      <c r="H273" s="94"/>
      <c r="I273" s="94"/>
      <c r="J273" s="94"/>
      <c r="K273" s="94"/>
      <c r="L273" s="94"/>
      <c r="M273" s="94"/>
      <c r="N273" s="94"/>
      <c r="O273" s="94"/>
      <c r="P273" s="94"/>
      <c r="Q273" s="94"/>
      <c r="R273" s="94"/>
      <c r="S273" s="94"/>
      <c r="T273" s="94"/>
      <c r="U273" s="94"/>
      <c r="V273" s="94"/>
      <c r="W273" s="94"/>
      <c r="X273" s="94"/>
      <c r="Y273" s="94"/>
      <c r="Z273" s="94"/>
    </row>
    <row r="274">
      <c r="A274" s="1"/>
      <c r="C274" s="44"/>
      <c r="E274" s="44"/>
      <c r="F274" s="94"/>
      <c r="G274" s="94"/>
      <c r="H274" s="94"/>
      <c r="I274" s="94"/>
      <c r="J274" s="94"/>
      <c r="K274" s="94"/>
      <c r="L274" s="94"/>
      <c r="M274" s="94"/>
      <c r="N274" s="94"/>
      <c r="O274" s="94"/>
      <c r="P274" s="94"/>
      <c r="Q274" s="94"/>
      <c r="R274" s="94"/>
      <c r="S274" s="94"/>
      <c r="T274" s="94"/>
      <c r="U274" s="94"/>
      <c r="V274" s="94"/>
      <c r="W274" s="94"/>
      <c r="X274" s="94"/>
      <c r="Y274" s="94"/>
      <c r="Z274" s="94"/>
    </row>
    <row r="275">
      <c r="A275" s="1"/>
      <c r="C275" s="44"/>
      <c r="E275" s="44"/>
      <c r="F275" s="94"/>
      <c r="G275" s="94"/>
      <c r="H275" s="94"/>
      <c r="I275" s="94"/>
      <c r="J275" s="94"/>
      <c r="K275" s="94"/>
      <c r="L275" s="94"/>
      <c r="M275" s="94"/>
      <c r="N275" s="94"/>
      <c r="O275" s="94"/>
      <c r="P275" s="94"/>
      <c r="Q275" s="94"/>
      <c r="R275" s="94"/>
      <c r="S275" s="94"/>
      <c r="T275" s="94"/>
      <c r="U275" s="94"/>
      <c r="V275" s="94"/>
      <c r="W275" s="94"/>
      <c r="X275" s="94"/>
      <c r="Y275" s="94"/>
      <c r="Z275" s="94"/>
    </row>
    <row r="276">
      <c r="A276" s="1"/>
      <c r="C276" s="44"/>
      <c r="E276" s="44"/>
      <c r="F276" s="94"/>
      <c r="G276" s="94"/>
      <c r="H276" s="94"/>
      <c r="I276" s="94"/>
      <c r="J276" s="94"/>
      <c r="K276" s="94"/>
      <c r="L276" s="94"/>
      <c r="M276" s="94"/>
      <c r="N276" s="94"/>
      <c r="O276" s="94"/>
      <c r="P276" s="94"/>
      <c r="Q276" s="94"/>
      <c r="R276" s="94"/>
      <c r="S276" s="94"/>
      <c r="T276" s="94"/>
      <c r="U276" s="94"/>
      <c r="V276" s="94"/>
      <c r="W276" s="94"/>
      <c r="X276" s="94"/>
      <c r="Y276" s="94"/>
      <c r="Z276" s="94"/>
    </row>
    <row r="277">
      <c r="A277" s="1"/>
      <c r="C277" s="44"/>
      <c r="E277" s="44"/>
      <c r="F277" s="94"/>
      <c r="G277" s="94"/>
      <c r="H277" s="94"/>
      <c r="I277" s="94"/>
      <c r="J277" s="94"/>
      <c r="K277" s="94"/>
      <c r="L277" s="94"/>
      <c r="M277" s="94"/>
      <c r="N277" s="94"/>
      <c r="O277" s="94"/>
      <c r="P277" s="94"/>
      <c r="Q277" s="94"/>
      <c r="R277" s="94"/>
      <c r="S277" s="94"/>
      <c r="T277" s="94"/>
      <c r="U277" s="94"/>
      <c r="V277" s="94"/>
      <c r="W277" s="94"/>
      <c r="X277" s="94"/>
      <c r="Y277" s="94"/>
      <c r="Z277" s="94"/>
    </row>
    <row r="278">
      <c r="A278" s="1"/>
      <c r="C278" s="44"/>
      <c r="E278" s="44"/>
      <c r="F278" s="94"/>
      <c r="G278" s="94"/>
      <c r="H278" s="94"/>
      <c r="I278" s="94"/>
      <c r="J278" s="94"/>
      <c r="K278" s="94"/>
      <c r="L278" s="94"/>
      <c r="M278" s="94"/>
      <c r="N278" s="94"/>
      <c r="O278" s="94"/>
      <c r="P278" s="94"/>
      <c r="Q278" s="94"/>
      <c r="R278" s="94"/>
      <c r="S278" s="94"/>
      <c r="T278" s="94"/>
      <c r="U278" s="94"/>
      <c r="V278" s="94"/>
      <c r="W278" s="94"/>
      <c r="X278" s="94"/>
      <c r="Y278" s="94"/>
      <c r="Z278" s="94"/>
    </row>
    <row r="279">
      <c r="A279" s="1"/>
      <c r="C279" s="44"/>
      <c r="E279" s="44"/>
      <c r="F279" s="94"/>
      <c r="G279" s="94"/>
      <c r="H279" s="94"/>
      <c r="I279" s="94"/>
      <c r="J279" s="94"/>
      <c r="K279" s="94"/>
      <c r="L279" s="94"/>
      <c r="M279" s="94"/>
      <c r="N279" s="94"/>
      <c r="O279" s="94"/>
      <c r="P279" s="94"/>
      <c r="Q279" s="94"/>
      <c r="R279" s="94"/>
      <c r="S279" s="94"/>
      <c r="T279" s="94"/>
      <c r="U279" s="94"/>
      <c r="V279" s="94"/>
      <c r="W279" s="94"/>
      <c r="X279" s="94"/>
      <c r="Y279" s="94"/>
      <c r="Z279" s="94"/>
    </row>
    <row r="280">
      <c r="A280" s="1"/>
      <c r="C280" s="44"/>
      <c r="E280" s="44"/>
      <c r="F280" s="94"/>
      <c r="G280" s="94"/>
      <c r="H280" s="94"/>
      <c r="I280" s="94"/>
      <c r="J280" s="94"/>
      <c r="K280" s="94"/>
      <c r="L280" s="94"/>
      <c r="M280" s="94"/>
      <c r="N280" s="94"/>
      <c r="O280" s="94"/>
      <c r="P280" s="94"/>
      <c r="Q280" s="94"/>
      <c r="R280" s="94"/>
      <c r="S280" s="94"/>
      <c r="T280" s="94"/>
      <c r="U280" s="94"/>
      <c r="V280" s="94"/>
      <c r="W280" s="94"/>
      <c r="X280" s="94"/>
      <c r="Y280" s="94"/>
      <c r="Z280" s="94"/>
    </row>
    <row r="281">
      <c r="A281" s="1"/>
      <c r="C281" s="44"/>
      <c r="E281" s="44"/>
      <c r="F281" s="94"/>
      <c r="G281" s="94"/>
      <c r="H281" s="94"/>
      <c r="I281" s="94"/>
      <c r="J281" s="94"/>
      <c r="K281" s="94"/>
      <c r="L281" s="94"/>
      <c r="M281" s="94"/>
      <c r="N281" s="94"/>
      <c r="O281" s="94"/>
      <c r="P281" s="94"/>
      <c r="Q281" s="94"/>
      <c r="R281" s="94"/>
      <c r="S281" s="94"/>
      <c r="T281" s="94"/>
      <c r="U281" s="94"/>
      <c r="V281" s="94"/>
      <c r="W281" s="94"/>
      <c r="X281" s="94"/>
      <c r="Y281" s="94"/>
      <c r="Z281" s="94"/>
    </row>
    <row r="282">
      <c r="A282" s="1"/>
      <c r="C282" s="44"/>
      <c r="E282" s="44"/>
      <c r="F282" s="94"/>
      <c r="G282" s="94"/>
      <c r="H282" s="94"/>
      <c r="I282" s="94"/>
      <c r="J282" s="94"/>
      <c r="K282" s="94"/>
      <c r="L282" s="94"/>
      <c r="M282" s="94"/>
      <c r="N282" s="94"/>
      <c r="O282" s="94"/>
      <c r="P282" s="94"/>
      <c r="Q282" s="94"/>
      <c r="R282" s="94"/>
      <c r="S282" s="94"/>
      <c r="T282" s="94"/>
      <c r="U282" s="94"/>
      <c r="V282" s="94"/>
      <c r="W282" s="94"/>
      <c r="X282" s="94"/>
      <c r="Y282" s="94"/>
      <c r="Z282" s="94"/>
    </row>
    <row r="283">
      <c r="A283" s="1"/>
      <c r="C283" s="44"/>
      <c r="E283" s="44"/>
      <c r="F283" s="94"/>
      <c r="G283" s="94"/>
      <c r="H283" s="94"/>
      <c r="I283" s="94"/>
      <c r="J283" s="94"/>
      <c r="K283" s="94"/>
      <c r="L283" s="94"/>
      <c r="M283" s="94"/>
      <c r="N283" s="94"/>
      <c r="O283" s="94"/>
      <c r="P283" s="94"/>
      <c r="Q283" s="94"/>
      <c r="R283" s="94"/>
      <c r="S283" s="94"/>
      <c r="T283" s="94"/>
      <c r="U283" s="94"/>
      <c r="V283" s="94"/>
      <c r="W283" s="94"/>
      <c r="X283" s="94"/>
      <c r="Y283" s="94"/>
      <c r="Z283" s="94"/>
    </row>
    <row r="284">
      <c r="A284" s="1"/>
      <c r="C284" s="44"/>
      <c r="E284" s="44"/>
      <c r="F284" s="94"/>
      <c r="G284" s="94"/>
      <c r="H284" s="94"/>
      <c r="I284" s="94"/>
      <c r="J284" s="94"/>
      <c r="K284" s="94"/>
      <c r="L284" s="94"/>
      <c r="M284" s="94"/>
      <c r="N284" s="94"/>
      <c r="O284" s="94"/>
      <c r="P284" s="94"/>
      <c r="Q284" s="94"/>
      <c r="R284" s="94"/>
      <c r="S284" s="94"/>
      <c r="T284" s="94"/>
      <c r="U284" s="94"/>
      <c r="V284" s="94"/>
      <c r="W284" s="94"/>
      <c r="X284" s="94"/>
      <c r="Y284" s="94"/>
      <c r="Z284" s="94"/>
    </row>
    <row r="285">
      <c r="A285" s="1"/>
      <c r="C285" s="44"/>
      <c r="E285" s="44"/>
      <c r="F285" s="94"/>
      <c r="G285" s="94"/>
      <c r="H285" s="94"/>
      <c r="I285" s="94"/>
      <c r="J285" s="94"/>
      <c r="K285" s="94"/>
      <c r="L285" s="94"/>
      <c r="M285" s="94"/>
      <c r="N285" s="94"/>
      <c r="O285" s="94"/>
      <c r="P285" s="94"/>
      <c r="Q285" s="94"/>
      <c r="R285" s="94"/>
      <c r="S285" s="94"/>
      <c r="T285" s="94"/>
      <c r="U285" s="94"/>
      <c r="V285" s="94"/>
      <c r="W285" s="94"/>
      <c r="X285" s="94"/>
      <c r="Y285" s="94"/>
      <c r="Z285" s="94"/>
    </row>
    <row r="286">
      <c r="A286" s="1"/>
      <c r="C286" s="44"/>
      <c r="E286" s="44"/>
      <c r="F286" s="94"/>
      <c r="G286" s="94"/>
      <c r="H286" s="94"/>
      <c r="I286" s="94"/>
      <c r="J286" s="94"/>
      <c r="K286" s="94"/>
      <c r="L286" s="94"/>
      <c r="M286" s="94"/>
      <c r="N286" s="94"/>
      <c r="O286" s="94"/>
      <c r="P286" s="94"/>
      <c r="Q286" s="94"/>
      <c r="R286" s="94"/>
      <c r="S286" s="94"/>
      <c r="T286" s="94"/>
      <c r="U286" s="94"/>
      <c r="V286" s="94"/>
      <c r="W286" s="94"/>
      <c r="X286" s="94"/>
      <c r="Y286" s="94"/>
      <c r="Z286" s="94"/>
    </row>
    <row r="287">
      <c r="A287" s="1"/>
      <c r="C287" s="44"/>
      <c r="E287" s="44"/>
      <c r="F287" s="94"/>
      <c r="G287" s="94"/>
      <c r="H287" s="94"/>
      <c r="I287" s="94"/>
      <c r="J287" s="94"/>
      <c r="K287" s="94"/>
      <c r="L287" s="94"/>
      <c r="M287" s="94"/>
      <c r="N287" s="94"/>
      <c r="O287" s="94"/>
      <c r="P287" s="94"/>
      <c r="Q287" s="94"/>
      <c r="R287" s="94"/>
      <c r="S287" s="94"/>
      <c r="T287" s="94"/>
      <c r="U287" s="94"/>
      <c r="V287" s="94"/>
      <c r="W287" s="94"/>
      <c r="X287" s="94"/>
      <c r="Y287" s="94"/>
      <c r="Z287" s="94"/>
    </row>
    <row r="288">
      <c r="A288" s="1"/>
      <c r="C288" s="44"/>
      <c r="E288" s="44"/>
      <c r="F288" s="94"/>
      <c r="G288" s="94"/>
      <c r="H288" s="94"/>
      <c r="I288" s="94"/>
      <c r="J288" s="94"/>
      <c r="K288" s="94"/>
      <c r="L288" s="94"/>
      <c r="M288" s="94"/>
      <c r="N288" s="94"/>
      <c r="O288" s="94"/>
      <c r="P288" s="94"/>
      <c r="Q288" s="94"/>
      <c r="R288" s="94"/>
      <c r="S288" s="94"/>
      <c r="T288" s="94"/>
      <c r="U288" s="94"/>
      <c r="V288" s="94"/>
      <c r="W288" s="94"/>
      <c r="X288" s="94"/>
      <c r="Y288" s="94"/>
      <c r="Z288" s="94"/>
    </row>
    <row r="289">
      <c r="A289" s="1"/>
      <c r="C289" s="44"/>
      <c r="E289" s="44"/>
      <c r="F289" s="94"/>
      <c r="G289" s="94"/>
      <c r="H289" s="94"/>
      <c r="I289" s="94"/>
      <c r="J289" s="94"/>
      <c r="K289" s="94"/>
      <c r="L289" s="94"/>
      <c r="M289" s="94"/>
      <c r="N289" s="94"/>
      <c r="O289" s="94"/>
      <c r="P289" s="94"/>
      <c r="Q289" s="94"/>
      <c r="R289" s="94"/>
      <c r="S289" s="94"/>
      <c r="T289" s="94"/>
      <c r="U289" s="94"/>
      <c r="V289" s="94"/>
      <c r="W289" s="94"/>
      <c r="X289" s="94"/>
      <c r="Y289" s="94"/>
      <c r="Z289" s="94"/>
    </row>
    <row r="290">
      <c r="A290" s="1"/>
      <c r="C290" s="44"/>
      <c r="E290" s="44"/>
      <c r="F290" s="94"/>
      <c r="G290" s="94"/>
      <c r="H290" s="94"/>
      <c r="I290" s="94"/>
      <c r="J290" s="94"/>
      <c r="K290" s="94"/>
      <c r="L290" s="94"/>
      <c r="M290" s="94"/>
      <c r="N290" s="94"/>
      <c r="O290" s="94"/>
      <c r="P290" s="94"/>
      <c r="Q290" s="94"/>
      <c r="R290" s="94"/>
      <c r="S290" s="94"/>
      <c r="T290" s="94"/>
      <c r="U290" s="94"/>
      <c r="V290" s="94"/>
      <c r="W290" s="94"/>
      <c r="X290" s="94"/>
      <c r="Y290" s="94"/>
      <c r="Z290" s="94"/>
    </row>
    <row r="291">
      <c r="A291" s="1"/>
      <c r="C291" s="44"/>
      <c r="E291" s="44"/>
      <c r="F291" s="94"/>
      <c r="G291" s="94"/>
      <c r="H291" s="94"/>
      <c r="I291" s="94"/>
      <c r="J291" s="94"/>
      <c r="K291" s="94"/>
      <c r="L291" s="94"/>
      <c r="M291" s="94"/>
      <c r="N291" s="94"/>
      <c r="O291" s="94"/>
      <c r="P291" s="94"/>
      <c r="Q291" s="94"/>
      <c r="R291" s="94"/>
      <c r="S291" s="94"/>
      <c r="T291" s="94"/>
      <c r="U291" s="94"/>
      <c r="V291" s="94"/>
      <c r="W291" s="94"/>
      <c r="X291" s="94"/>
      <c r="Y291" s="94"/>
      <c r="Z291" s="94"/>
    </row>
    <row r="292">
      <c r="A292" s="1"/>
      <c r="C292" s="44"/>
      <c r="E292" s="44"/>
      <c r="F292" s="94"/>
      <c r="G292" s="94"/>
      <c r="H292" s="94"/>
      <c r="I292" s="94"/>
      <c r="J292" s="94"/>
      <c r="K292" s="94"/>
      <c r="L292" s="94"/>
      <c r="M292" s="94"/>
      <c r="N292" s="94"/>
      <c r="O292" s="94"/>
      <c r="P292" s="94"/>
      <c r="Q292" s="94"/>
      <c r="R292" s="94"/>
      <c r="S292" s="94"/>
      <c r="T292" s="94"/>
      <c r="U292" s="94"/>
      <c r="V292" s="94"/>
      <c r="W292" s="94"/>
      <c r="X292" s="94"/>
      <c r="Y292" s="94"/>
      <c r="Z292" s="94"/>
    </row>
    <row r="293">
      <c r="A293" s="1"/>
      <c r="C293" s="44"/>
      <c r="E293" s="44"/>
      <c r="F293" s="94"/>
      <c r="G293" s="94"/>
      <c r="H293" s="94"/>
      <c r="I293" s="94"/>
      <c r="J293" s="94"/>
      <c r="K293" s="94"/>
      <c r="L293" s="94"/>
      <c r="M293" s="94"/>
      <c r="N293" s="94"/>
      <c r="O293" s="94"/>
      <c r="P293" s="94"/>
      <c r="Q293" s="94"/>
      <c r="R293" s="94"/>
      <c r="S293" s="94"/>
      <c r="T293" s="94"/>
      <c r="U293" s="94"/>
      <c r="V293" s="94"/>
      <c r="W293" s="94"/>
      <c r="X293" s="94"/>
      <c r="Y293" s="94"/>
      <c r="Z293" s="94"/>
    </row>
    <row r="294">
      <c r="A294" s="1"/>
      <c r="C294" s="44"/>
      <c r="E294" s="44"/>
      <c r="F294" s="94"/>
      <c r="G294" s="94"/>
      <c r="H294" s="94"/>
      <c r="I294" s="94"/>
      <c r="J294" s="94"/>
      <c r="K294" s="94"/>
      <c r="L294" s="94"/>
      <c r="M294" s="94"/>
      <c r="N294" s="94"/>
      <c r="O294" s="94"/>
      <c r="P294" s="94"/>
      <c r="Q294" s="94"/>
      <c r="R294" s="94"/>
      <c r="S294" s="94"/>
      <c r="T294" s="94"/>
      <c r="U294" s="94"/>
      <c r="V294" s="94"/>
      <c r="W294" s="94"/>
      <c r="X294" s="94"/>
      <c r="Y294" s="94"/>
      <c r="Z294" s="94"/>
    </row>
    <row r="295">
      <c r="A295" s="1"/>
      <c r="C295" s="44"/>
      <c r="E295" s="44"/>
      <c r="F295" s="94"/>
      <c r="G295" s="94"/>
      <c r="H295" s="94"/>
      <c r="I295" s="94"/>
      <c r="J295" s="94"/>
      <c r="K295" s="94"/>
      <c r="L295" s="94"/>
      <c r="M295" s="94"/>
      <c r="N295" s="94"/>
      <c r="O295" s="94"/>
      <c r="P295" s="94"/>
      <c r="Q295" s="94"/>
      <c r="R295" s="94"/>
      <c r="S295" s="94"/>
      <c r="T295" s="94"/>
      <c r="U295" s="94"/>
      <c r="V295" s="94"/>
      <c r="W295" s="94"/>
      <c r="X295" s="94"/>
      <c r="Y295" s="94"/>
      <c r="Z295" s="94"/>
    </row>
    <row r="296">
      <c r="A296" s="1"/>
      <c r="C296" s="44"/>
      <c r="E296" s="44"/>
      <c r="F296" s="94"/>
      <c r="G296" s="94"/>
      <c r="H296" s="94"/>
      <c r="I296" s="94"/>
      <c r="J296" s="94"/>
      <c r="K296" s="94"/>
      <c r="L296" s="94"/>
      <c r="M296" s="94"/>
      <c r="N296" s="94"/>
      <c r="O296" s="94"/>
      <c r="P296" s="94"/>
      <c r="Q296" s="94"/>
      <c r="R296" s="94"/>
      <c r="S296" s="94"/>
      <c r="T296" s="94"/>
      <c r="U296" s="94"/>
      <c r="V296" s="94"/>
      <c r="W296" s="94"/>
      <c r="X296" s="94"/>
      <c r="Y296" s="94"/>
      <c r="Z296" s="94"/>
    </row>
    <row r="297">
      <c r="A297" s="1"/>
      <c r="C297" s="44"/>
      <c r="E297" s="44"/>
      <c r="F297" s="94"/>
      <c r="G297" s="94"/>
      <c r="H297" s="94"/>
      <c r="I297" s="94"/>
      <c r="J297" s="94"/>
      <c r="K297" s="94"/>
      <c r="L297" s="94"/>
      <c r="M297" s="94"/>
      <c r="N297" s="94"/>
      <c r="O297" s="94"/>
      <c r="P297" s="94"/>
      <c r="Q297" s="94"/>
      <c r="R297" s="94"/>
      <c r="S297" s="94"/>
      <c r="T297" s="94"/>
      <c r="U297" s="94"/>
      <c r="V297" s="94"/>
      <c r="W297" s="94"/>
      <c r="X297" s="94"/>
      <c r="Y297" s="94"/>
      <c r="Z297" s="94"/>
    </row>
    <row r="298">
      <c r="A298" s="1"/>
      <c r="C298" s="44"/>
      <c r="E298" s="44"/>
      <c r="F298" s="94"/>
      <c r="G298" s="94"/>
      <c r="H298" s="94"/>
      <c r="I298" s="94"/>
      <c r="J298" s="94"/>
      <c r="K298" s="94"/>
      <c r="L298" s="94"/>
      <c r="M298" s="94"/>
      <c r="N298" s="94"/>
      <c r="O298" s="94"/>
      <c r="P298" s="94"/>
      <c r="Q298" s="94"/>
      <c r="R298" s="94"/>
      <c r="S298" s="94"/>
      <c r="T298" s="94"/>
      <c r="U298" s="94"/>
      <c r="V298" s="94"/>
      <c r="W298" s="94"/>
      <c r="X298" s="94"/>
      <c r="Y298" s="94"/>
      <c r="Z298" s="94"/>
    </row>
    <row r="299">
      <c r="A299" s="1"/>
      <c r="C299" s="44"/>
      <c r="E299" s="44"/>
      <c r="F299" s="94"/>
      <c r="G299" s="94"/>
      <c r="H299" s="94"/>
      <c r="I299" s="94"/>
      <c r="J299" s="94"/>
      <c r="K299" s="94"/>
      <c r="L299" s="94"/>
      <c r="M299" s="94"/>
      <c r="N299" s="94"/>
      <c r="O299" s="94"/>
      <c r="P299" s="94"/>
      <c r="Q299" s="94"/>
      <c r="R299" s="94"/>
      <c r="S299" s="94"/>
      <c r="T299" s="94"/>
      <c r="U299" s="94"/>
      <c r="V299" s="94"/>
      <c r="W299" s="94"/>
      <c r="X299" s="94"/>
      <c r="Y299" s="94"/>
      <c r="Z299" s="94"/>
    </row>
    <row r="300">
      <c r="A300" s="1"/>
      <c r="C300" s="44"/>
      <c r="E300" s="44"/>
      <c r="F300" s="94"/>
      <c r="G300" s="94"/>
      <c r="H300" s="94"/>
      <c r="I300" s="94"/>
      <c r="J300" s="94"/>
      <c r="K300" s="94"/>
      <c r="L300" s="94"/>
      <c r="M300" s="94"/>
      <c r="N300" s="94"/>
      <c r="O300" s="94"/>
      <c r="P300" s="94"/>
      <c r="Q300" s="94"/>
      <c r="R300" s="94"/>
      <c r="S300" s="94"/>
      <c r="T300" s="94"/>
      <c r="U300" s="94"/>
      <c r="V300" s="94"/>
      <c r="W300" s="94"/>
      <c r="X300" s="94"/>
      <c r="Y300" s="94"/>
      <c r="Z300" s="94"/>
    </row>
    <row r="301">
      <c r="A301" s="1"/>
      <c r="C301" s="44"/>
      <c r="E301" s="44"/>
      <c r="F301" s="94"/>
      <c r="G301" s="94"/>
      <c r="H301" s="94"/>
      <c r="I301" s="94"/>
      <c r="J301" s="94"/>
      <c r="K301" s="94"/>
      <c r="L301" s="94"/>
      <c r="M301" s="94"/>
      <c r="N301" s="94"/>
      <c r="O301" s="94"/>
      <c r="P301" s="94"/>
      <c r="Q301" s="94"/>
      <c r="R301" s="94"/>
      <c r="S301" s="94"/>
      <c r="T301" s="94"/>
      <c r="U301" s="94"/>
      <c r="V301" s="94"/>
      <c r="W301" s="94"/>
      <c r="X301" s="94"/>
      <c r="Y301" s="94"/>
      <c r="Z301" s="94"/>
    </row>
    <row r="302">
      <c r="A302" s="1"/>
      <c r="C302" s="44"/>
      <c r="E302" s="44"/>
      <c r="F302" s="94"/>
      <c r="G302" s="94"/>
      <c r="H302" s="94"/>
      <c r="I302" s="94"/>
      <c r="J302" s="94"/>
      <c r="K302" s="94"/>
      <c r="L302" s="94"/>
      <c r="M302" s="94"/>
      <c r="N302" s="94"/>
      <c r="O302" s="94"/>
      <c r="P302" s="94"/>
      <c r="Q302" s="94"/>
      <c r="R302" s="94"/>
      <c r="S302" s="94"/>
      <c r="T302" s="94"/>
      <c r="U302" s="94"/>
      <c r="V302" s="94"/>
      <c r="W302" s="94"/>
      <c r="X302" s="94"/>
      <c r="Y302" s="94"/>
      <c r="Z302" s="94"/>
    </row>
    <row r="303">
      <c r="A303" s="1"/>
      <c r="C303" s="44"/>
      <c r="E303" s="44"/>
      <c r="F303" s="94"/>
      <c r="G303" s="94"/>
      <c r="H303" s="94"/>
      <c r="I303" s="94"/>
      <c r="J303" s="94"/>
      <c r="K303" s="94"/>
      <c r="L303" s="94"/>
      <c r="M303" s="94"/>
      <c r="N303" s="94"/>
      <c r="O303" s="94"/>
      <c r="P303" s="94"/>
      <c r="Q303" s="94"/>
      <c r="R303" s="94"/>
      <c r="S303" s="94"/>
      <c r="T303" s="94"/>
      <c r="U303" s="94"/>
      <c r="V303" s="94"/>
      <c r="W303" s="94"/>
      <c r="X303" s="94"/>
      <c r="Y303" s="94"/>
      <c r="Z303" s="94"/>
    </row>
    <row r="304">
      <c r="A304" s="1"/>
      <c r="C304" s="44"/>
      <c r="E304" s="44"/>
      <c r="F304" s="94"/>
      <c r="G304" s="94"/>
      <c r="H304" s="94"/>
      <c r="I304" s="94"/>
      <c r="J304" s="94"/>
      <c r="K304" s="94"/>
      <c r="L304" s="94"/>
      <c r="M304" s="94"/>
      <c r="N304" s="94"/>
      <c r="O304" s="94"/>
      <c r="P304" s="94"/>
      <c r="Q304" s="94"/>
      <c r="R304" s="94"/>
      <c r="S304" s="94"/>
      <c r="T304" s="94"/>
      <c r="U304" s="94"/>
      <c r="V304" s="94"/>
      <c r="W304" s="94"/>
      <c r="X304" s="94"/>
      <c r="Y304" s="94"/>
      <c r="Z304" s="94"/>
    </row>
    <row r="305">
      <c r="A305" s="1"/>
      <c r="C305" s="44"/>
      <c r="E305" s="44"/>
      <c r="F305" s="94"/>
      <c r="G305" s="94"/>
      <c r="H305" s="94"/>
      <c r="I305" s="94"/>
      <c r="J305" s="94"/>
      <c r="K305" s="94"/>
      <c r="L305" s="94"/>
      <c r="M305" s="94"/>
      <c r="N305" s="94"/>
      <c r="O305" s="94"/>
      <c r="P305" s="94"/>
      <c r="Q305" s="94"/>
      <c r="R305" s="94"/>
      <c r="S305" s="94"/>
      <c r="T305" s="94"/>
      <c r="U305" s="94"/>
      <c r="V305" s="94"/>
      <c r="W305" s="94"/>
      <c r="X305" s="94"/>
      <c r="Y305" s="94"/>
      <c r="Z305" s="94"/>
    </row>
    <row r="306">
      <c r="A306" s="1"/>
      <c r="C306" s="44"/>
      <c r="E306" s="44"/>
      <c r="F306" s="94"/>
      <c r="G306" s="94"/>
      <c r="H306" s="94"/>
      <c r="I306" s="94"/>
      <c r="J306" s="94"/>
      <c r="K306" s="94"/>
      <c r="L306" s="94"/>
      <c r="M306" s="94"/>
      <c r="N306" s="94"/>
      <c r="O306" s="94"/>
      <c r="P306" s="94"/>
      <c r="Q306" s="94"/>
      <c r="R306" s="94"/>
      <c r="S306" s="94"/>
      <c r="T306" s="94"/>
      <c r="U306" s="94"/>
      <c r="V306" s="94"/>
      <c r="W306" s="94"/>
      <c r="X306" s="94"/>
      <c r="Y306" s="94"/>
      <c r="Z306" s="94"/>
    </row>
    <row r="307">
      <c r="A307" s="1"/>
      <c r="C307" s="44"/>
      <c r="E307" s="44"/>
      <c r="F307" s="94"/>
      <c r="G307" s="94"/>
      <c r="H307" s="94"/>
      <c r="I307" s="94"/>
      <c r="J307" s="94"/>
      <c r="K307" s="94"/>
      <c r="L307" s="94"/>
      <c r="M307" s="94"/>
      <c r="N307" s="94"/>
      <c r="O307" s="94"/>
      <c r="P307" s="94"/>
      <c r="Q307" s="94"/>
      <c r="R307" s="94"/>
      <c r="S307" s="94"/>
      <c r="T307" s="94"/>
      <c r="U307" s="94"/>
      <c r="V307" s="94"/>
      <c r="W307" s="94"/>
      <c r="X307" s="94"/>
      <c r="Y307" s="94"/>
      <c r="Z307" s="94"/>
    </row>
    <row r="308">
      <c r="A308" s="1"/>
      <c r="C308" s="44"/>
      <c r="E308" s="44"/>
      <c r="F308" s="94"/>
      <c r="G308" s="94"/>
      <c r="H308" s="94"/>
      <c r="I308" s="94"/>
      <c r="J308" s="94"/>
      <c r="K308" s="94"/>
      <c r="L308" s="94"/>
      <c r="M308" s="94"/>
      <c r="N308" s="94"/>
      <c r="O308" s="94"/>
      <c r="P308" s="94"/>
      <c r="Q308" s="94"/>
      <c r="R308" s="94"/>
      <c r="S308" s="94"/>
      <c r="T308" s="94"/>
      <c r="U308" s="94"/>
      <c r="V308" s="94"/>
      <c r="W308" s="94"/>
      <c r="X308" s="94"/>
      <c r="Y308" s="94"/>
      <c r="Z308" s="94"/>
    </row>
    <row r="309">
      <c r="A309" s="1"/>
      <c r="C309" s="44"/>
      <c r="E309" s="44"/>
      <c r="F309" s="94"/>
      <c r="G309" s="94"/>
      <c r="H309" s="94"/>
      <c r="I309" s="94"/>
      <c r="J309" s="94"/>
      <c r="K309" s="94"/>
      <c r="L309" s="94"/>
      <c r="M309" s="94"/>
      <c r="N309" s="94"/>
      <c r="O309" s="94"/>
      <c r="P309" s="94"/>
      <c r="Q309" s="94"/>
      <c r="R309" s="94"/>
      <c r="S309" s="94"/>
      <c r="T309" s="94"/>
      <c r="U309" s="94"/>
      <c r="V309" s="94"/>
      <c r="W309" s="94"/>
      <c r="X309" s="94"/>
      <c r="Y309" s="94"/>
      <c r="Z309" s="94"/>
    </row>
    <row r="310">
      <c r="A310" s="1"/>
      <c r="C310" s="44"/>
      <c r="E310" s="44"/>
      <c r="F310" s="94"/>
      <c r="G310" s="94"/>
      <c r="H310" s="94"/>
      <c r="I310" s="94"/>
      <c r="J310" s="94"/>
      <c r="K310" s="94"/>
      <c r="L310" s="94"/>
      <c r="M310" s="94"/>
      <c r="N310" s="94"/>
      <c r="O310" s="94"/>
      <c r="P310" s="94"/>
      <c r="Q310" s="94"/>
      <c r="R310" s="94"/>
      <c r="S310" s="94"/>
      <c r="T310" s="94"/>
      <c r="U310" s="94"/>
      <c r="V310" s="94"/>
      <c r="W310" s="94"/>
      <c r="X310" s="94"/>
      <c r="Y310" s="94"/>
      <c r="Z310" s="94"/>
    </row>
    <row r="311">
      <c r="A311" s="1"/>
      <c r="C311" s="44"/>
      <c r="E311" s="44"/>
      <c r="F311" s="94"/>
      <c r="G311" s="94"/>
      <c r="H311" s="94"/>
      <c r="I311" s="94"/>
      <c r="J311" s="94"/>
      <c r="K311" s="94"/>
      <c r="L311" s="94"/>
      <c r="M311" s="94"/>
      <c r="N311" s="94"/>
      <c r="O311" s="94"/>
      <c r="P311" s="94"/>
      <c r="Q311" s="94"/>
      <c r="R311" s="94"/>
      <c r="S311" s="94"/>
      <c r="T311" s="94"/>
      <c r="U311" s="94"/>
      <c r="V311" s="94"/>
      <c r="W311" s="94"/>
      <c r="X311" s="94"/>
      <c r="Y311" s="94"/>
      <c r="Z311" s="94"/>
    </row>
    <row r="312">
      <c r="A312" s="1"/>
      <c r="C312" s="44"/>
      <c r="E312" s="44"/>
      <c r="F312" s="94"/>
      <c r="G312" s="94"/>
      <c r="H312" s="94"/>
      <c r="I312" s="94"/>
      <c r="J312" s="94"/>
      <c r="K312" s="94"/>
      <c r="L312" s="94"/>
      <c r="M312" s="94"/>
      <c r="N312" s="94"/>
      <c r="O312" s="94"/>
      <c r="P312" s="94"/>
      <c r="Q312" s="94"/>
      <c r="R312" s="94"/>
      <c r="S312" s="94"/>
      <c r="T312" s="94"/>
      <c r="U312" s="94"/>
      <c r="V312" s="94"/>
      <c r="W312" s="94"/>
      <c r="X312" s="94"/>
      <c r="Y312" s="94"/>
      <c r="Z312" s="94"/>
    </row>
    <row r="313">
      <c r="A313" s="1"/>
      <c r="C313" s="44"/>
      <c r="E313" s="44"/>
      <c r="F313" s="94"/>
      <c r="G313" s="94"/>
      <c r="H313" s="94"/>
      <c r="I313" s="94"/>
      <c r="J313" s="94"/>
      <c r="K313" s="94"/>
      <c r="L313" s="94"/>
      <c r="M313" s="94"/>
      <c r="N313" s="94"/>
      <c r="O313" s="94"/>
      <c r="P313" s="94"/>
      <c r="Q313" s="94"/>
      <c r="R313" s="94"/>
      <c r="S313" s="94"/>
      <c r="T313" s="94"/>
      <c r="U313" s="94"/>
      <c r="V313" s="94"/>
      <c r="W313" s="94"/>
      <c r="X313" s="94"/>
      <c r="Y313" s="94"/>
      <c r="Z313" s="94"/>
    </row>
    <row r="314">
      <c r="A314" s="1"/>
      <c r="C314" s="44"/>
      <c r="E314" s="44"/>
      <c r="F314" s="94"/>
      <c r="G314" s="94"/>
      <c r="H314" s="94"/>
      <c r="I314" s="94"/>
      <c r="J314" s="94"/>
      <c r="K314" s="94"/>
      <c r="L314" s="94"/>
      <c r="M314" s="94"/>
      <c r="N314" s="94"/>
      <c r="O314" s="94"/>
      <c r="P314" s="94"/>
      <c r="Q314" s="94"/>
      <c r="R314" s="94"/>
      <c r="S314" s="94"/>
      <c r="T314" s="94"/>
      <c r="U314" s="94"/>
      <c r="V314" s="94"/>
      <c r="W314" s="94"/>
      <c r="X314" s="94"/>
      <c r="Y314" s="94"/>
      <c r="Z314" s="94"/>
    </row>
    <row r="315">
      <c r="A315" s="1"/>
      <c r="C315" s="44"/>
      <c r="E315" s="44"/>
      <c r="F315" s="94"/>
      <c r="G315" s="94"/>
      <c r="H315" s="94"/>
      <c r="I315" s="94"/>
      <c r="J315" s="94"/>
      <c r="K315" s="94"/>
      <c r="L315" s="94"/>
      <c r="M315" s="94"/>
      <c r="N315" s="94"/>
      <c r="O315" s="94"/>
      <c r="P315" s="94"/>
      <c r="Q315" s="94"/>
      <c r="R315" s="94"/>
      <c r="S315" s="94"/>
      <c r="T315" s="94"/>
      <c r="U315" s="94"/>
      <c r="V315" s="94"/>
      <c r="W315" s="94"/>
      <c r="X315" s="94"/>
      <c r="Y315" s="94"/>
      <c r="Z315" s="94"/>
    </row>
    <row r="316">
      <c r="A316" s="1"/>
      <c r="C316" s="44"/>
      <c r="E316" s="44"/>
      <c r="F316" s="94"/>
      <c r="G316" s="94"/>
      <c r="H316" s="94"/>
      <c r="I316" s="94"/>
      <c r="J316" s="94"/>
      <c r="K316" s="94"/>
      <c r="L316" s="94"/>
      <c r="M316" s="94"/>
      <c r="N316" s="94"/>
      <c r="O316" s="94"/>
      <c r="P316" s="94"/>
      <c r="Q316" s="94"/>
      <c r="R316" s="94"/>
      <c r="S316" s="94"/>
      <c r="T316" s="94"/>
      <c r="U316" s="94"/>
      <c r="V316" s="94"/>
      <c r="W316" s="94"/>
      <c r="X316" s="94"/>
      <c r="Y316" s="94"/>
      <c r="Z316" s="94"/>
    </row>
    <row r="317">
      <c r="A317" s="1"/>
      <c r="C317" s="44"/>
      <c r="E317" s="44"/>
      <c r="F317" s="94"/>
      <c r="G317" s="94"/>
      <c r="H317" s="94"/>
      <c r="I317" s="94"/>
      <c r="J317" s="94"/>
      <c r="K317" s="94"/>
      <c r="L317" s="94"/>
      <c r="M317" s="94"/>
      <c r="N317" s="94"/>
      <c r="O317" s="94"/>
      <c r="P317" s="94"/>
      <c r="Q317" s="94"/>
      <c r="R317" s="94"/>
      <c r="S317" s="94"/>
      <c r="T317" s="94"/>
      <c r="U317" s="94"/>
      <c r="V317" s="94"/>
      <c r="W317" s="94"/>
      <c r="X317" s="94"/>
      <c r="Y317" s="94"/>
      <c r="Z317" s="94"/>
    </row>
    <row r="318">
      <c r="A318" s="1"/>
      <c r="C318" s="44"/>
      <c r="E318" s="44"/>
      <c r="F318" s="94"/>
      <c r="G318" s="94"/>
      <c r="H318" s="94"/>
      <c r="I318" s="94"/>
      <c r="J318" s="94"/>
      <c r="K318" s="94"/>
      <c r="L318" s="94"/>
      <c r="M318" s="94"/>
      <c r="N318" s="94"/>
      <c r="O318" s="94"/>
      <c r="P318" s="94"/>
      <c r="Q318" s="94"/>
      <c r="R318" s="94"/>
      <c r="S318" s="94"/>
      <c r="T318" s="94"/>
      <c r="U318" s="94"/>
      <c r="V318" s="94"/>
      <c r="W318" s="94"/>
      <c r="X318" s="94"/>
      <c r="Y318" s="94"/>
      <c r="Z318" s="94"/>
    </row>
    <row r="319">
      <c r="A319" s="1"/>
      <c r="C319" s="44"/>
      <c r="E319" s="44"/>
      <c r="F319" s="94"/>
      <c r="G319" s="94"/>
      <c r="H319" s="94"/>
      <c r="I319" s="94"/>
      <c r="J319" s="94"/>
      <c r="K319" s="94"/>
      <c r="L319" s="94"/>
      <c r="M319" s="94"/>
      <c r="N319" s="94"/>
      <c r="O319" s="94"/>
      <c r="P319" s="94"/>
      <c r="Q319" s="94"/>
      <c r="R319" s="94"/>
      <c r="S319" s="94"/>
      <c r="T319" s="94"/>
      <c r="U319" s="94"/>
      <c r="V319" s="94"/>
      <c r="W319" s="94"/>
      <c r="X319" s="94"/>
      <c r="Y319" s="94"/>
      <c r="Z319" s="94"/>
    </row>
    <row r="320">
      <c r="A320" s="1"/>
      <c r="C320" s="44"/>
      <c r="E320" s="44"/>
      <c r="F320" s="94"/>
      <c r="G320" s="94"/>
      <c r="H320" s="94"/>
      <c r="I320" s="94"/>
      <c r="J320" s="94"/>
      <c r="K320" s="94"/>
      <c r="L320" s="94"/>
      <c r="M320" s="94"/>
      <c r="N320" s="94"/>
      <c r="O320" s="94"/>
      <c r="P320" s="94"/>
      <c r="Q320" s="94"/>
      <c r="R320" s="94"/>
      <c r="S320" s="94"/>
      <c r="T320" s="94"/>
      <c r="U320" s="94"/>
      <c r="V320" s="94"/>
      <c r="W320" s="94"/>
      <c r="X320" s="94"/>
      <c r="Y320" s="94"/>
      <c r="Z320" s="94"/>
    </row>
    <row r="321">
      <c r="A321" s="1"/>
      <c r="C321" s="44"/>
      <c r="E321" s="44"/>
      <c r="F321" s="94"/>
      <c r="G321" s="94"/>
      <c r="H321" s="94"/>
      <c r="I321" s="94"/>
      <c r="J321" s="94"/>
      <c r="K321" s="94"/>
      <c r="L321" s="94"/>
      <c r="M321" s="94"/>
      <c r="N321" s="94"/>
      <c r="O321" s="94"/>
      <c r="P321" s="94"/>
      <c r="Q321" s="94"/>
      <c r="R321" s="94"/>
      <c r="S321" s="94"/>
      <c r="T321" s="94"/>
      <c r="U321" s="94"/>
      <c r="V321" s="94"/>
      <c r="W321" s="94"/>
      <c r="X321" s="94"/>
      <c r="Y321" s="94"/>
      <c r="Z321" s="94"/>
    </row>
    <row r="322">
      <c r="A322" s="1"/>
      <c r="C322" s="44"/>
      <c r="E322" s="44"/>
      <c r="F322" s="94"/>
      <c r="G322" s="94"/>
      <c r="H322" s="94"/>
      <c r="I322" s="94"/>
      <c r="J322" s="94"/>
      <c r="K322" s="94"/>
      <c r="L322" s="94"/>
      <c r="M322" s="94"/>
      <c r="N322" s="94"/>
      <c r="O322" s="94"/>
      <c r="P322" s="94"/>
      <c r="Q322" s="94"/>
      <c r="R322" s="94"/>
      <c r="S322" s="94"/>
      <c r="T322" s="94"/>
      <c r="U322" s="94"/>
      <c r="V322" s="94"/>
      <c r="W322" s="94"/>
      <c r="X322" s="94"/>
      <c r="Y322" s="94"/>
      <c r="Z322" s="94"/>
    </row>
    <row r="323">
      <c r="A323" s="1"/>
      <c r="C323" s="44"/>
      <c r="E323" s="44"/>
      <c r="F323" s="94"/>
      <c r="G323" s="94"/>
      <c r="H323" s="94"/>
      <c r="I323" s="94"/>
      <c r="J323" s="94"/>
      <c r="K323" s="94"/>
      <c r="L323" s="94"/>
      <c r="M323" s="94"/>
      <c r="N323" s="94"/>
      <c r="O323" s="94"/>
      <c r="P323" s="94"/>
      <c r="Q323" s="94"/>
      <c r="R323" s="94"/>
      <c r="S323" s="94"/>
      <c r="T323" s="94"/>
      <c r="U323" s="94"/>
      <c r="V323" s="94"/>
      <c r="W323" s="94"/>
      <c r="X323" s="94"/>
      <c r="Y323" s="94"/>
      <c r="Z323" s="94"/>
    </row>
    <row r="324">
      <c r="A324" s="1"/>
      <c r="C324" s="44"/>
      <c r="E324" s="44"/>
      <c r="F324" s="94"/>
      <c r="G324" s="94"/>
      <c r="H324" s="94"/>
      <c r="I324" s="94"/>
      <c r="J324" s="94"/>
      <c r="K324" s="94"/>
      <c r="L324" s="94"/>
      <c r="M324" s="94"/>
      <c r="N324" s="94"/>
      <c r="O324" s="94"/>
      <c r="P324" s="94"/>
      <c r="Q324" s="94"/>
      <c r="R324" s="94"/>
      <c r="S324" s="94"/>
      <c r="T324" s="94"/>
      <c r="U324" s="94"/>
      <c r="V324" s="94"/>
      <c r="W324" s="94"/>
      <c r="X324" s="94"/>
      <c r="Y324" s="94"/>
      <c r="Z324" s="94"/>
    </row>
    <row r="325">
      <c r="A325" s="1"/>
      <c r="C325" s="44"/>
      <c r="E325" s="44"/>
      <c r="F325" s="94"/>
      <c r="G325" s="94"/>
      <c r="H325" s="94"/>
      <c r="I325" s="94"/>
      <c r="J325" s="94"/>
      <c r="K325" s="94"/>
      <c r="L325" s="94"/>
      <c r="M325" s="94"/>
      <c r="N325" s="94"/>
      <c r="O325" s="94"/>
      <c r="P325" s="94"/>
      <c r="Q325" s="94"/>
      <c r="R325" s="94"/>
      <c r="S325" s="94"/>
      <c r="T325" s="94"/>
      <c r="U325" s="94"/>
      <c r="V325" s="94"/>
      <c r="W325" s="94"/>
      <c r="X325" s="94"/>
      <c r="Y325" s="94"/>
      <c r="Z325" s="94"/>
    </row>
    <row r="326">
      <c r="A326" s="1"/>
      <c r="C326" s="44"/>
      <c r="E326" s="44"/>
      <c r="F326" s="94"/>
      <c r="G326" s="94"/>
      <c r="H326" s="94"/>
      <c r="I326" s="94"/>
      <c r="J326" s="94"/>
      <c r="K326" s="94"/>
      <c r="L326" s="94"/>
      <c r="M326" s="94"/>
      <c r="N326" s="94"/>
      <c r="O326" s="94"/>
      <c r="P326" s="94"/>
      <c r="Q326" s="94"/>
      <c r="R326" s="94"/>
      <c r="S326" s="94"/>
      <c r="T326" s="94"/>
      <c r="U326" s="94"/>
      <c r="V326" s="94"/>
      <c r="W326" s="94"/>
      <c r="X326" s="94"/>
      <c r="Y326" s="94"/>
      <c r="Z326" s="94"/>
    </row>
    <row r="327">
      <c r="A327" s="1"/>
      <c r="C327" s="44"/>
      <c r="E327" s="44"/>
      <c r="F327" s="94"/>
      <c r="G327" s="94"/>
      <c r="H327" s="94"/>
      <c r="I327" s="94"/>
      <c r="J327" s="94"/>
      <c r="K327" s="94"/>
      <c r="L327" s="94"/>
      <c r="M327" s="94"/>
      <c r="N327" s="94"/>
      <c r="O327" s="94"/>
      <c r="P327" s="94"/>
      <c r="Q327" s="94"/>
      <c r="R327" s="94"/>
      <c r="S327" s="94"/>
      <c r="T327" s="94"/>
      <c r="U327" s="94"/>
      <c r="V327" s="94"/>
      <c r="W327" s="94"/>
      <c r="X327" s="94"/>
      <c r="Y327" s="94"/>
      <c r="Z327" s="94"/>
    </row>
    <row r="328">
      <c r="A328" s="1"/>
      <c r="C328" s="44"/>
      <c r="E328" s="44"/>
      <c r="F328" s="94"/>
      <c r="G328" s="94"/>
      <c r="H328" s="94"/>
      <c r="I328" s="94"/>
      <c r="J328" s="94"/>
      <c r="K328" s="94"/>
      <c r="L328" s="94"/>
      <c r="M328" s="94"/>
      <c r="N328" s="94"/>
      <c r="O328" s="94"/>
      <c r="P328" s="94"/>
      <c r="Q328" s="94"/>
      <c r="R328" s="94"/>
      <c r="S328" s="94"/>
      <c r="T328" s="94"/>
      <c r="U328" s="94"/>
      <c r="V328" s="94"/>
      <c r="W328" s="94"/>
      <c r="X328" s="94"/>
      <c r="Y328" s="94"/>
      <c r="Z328" s="94"/>
    </row>
    <row r="329">
      <c r="A329" s="1"/>
      <c r="C329" s="44"/>
      <c r="E329" s="44"/>
      <c r="F329" s="94"/>
      <c r="G329" s="94"/>
      <c r="H329" s="94"/>
      <c r="I329" s="94"/>
      <c r="J329" s="94"/>
      <c r="K329" s="94"/>
      <c r="L329" s="94"/>
      <c r="M329" s="94"/>
      <c r="N329" s="94"/>
      <c r="O329" s="94"/>
      <c r="P329" s="94"/>
      <c r="Q329" s="94"/>
      <c r="R329" s="94"/>
      <c r="S329" s="94"/>
      <c r="T329" s="94"/>
      <c r="U329" s="94"/>
      <c r="V329" s="94"/>
      <c r="W329" s="94"/>
      <c r="X329" s="94"/>
      <c r="Y329" s="94"/>
      <c r="Z329" s="94"/>
    </row>
    <row r="330">
      <c r="A330" s="1"/>
      <c r="C330" s="44"/>
      <c r="E330" s="44"/>
      <c r="F330" s="94"/>
      <c r="G330" s="94"/>
      <c r="H330" s="94"/>
      <c r="I330" s="94"/>
      <c r="J330" s="94"/>
      <c r="K330" s="94"/>
      <c r="L330" s="94"/>
      <c r="M330" s="94"/>
      <c r="N330" s="94"/>
      <c r="O330" s="94"/>
      <c r="P330" s="94"/>
      <c r="Q330" s="94"/>
      <c r="R330" s="94"/>
      <c r="S330" s="94"/>
      <c r="T330" s="94"/>
      <c r="U330" s="94"/>
      <c r="V330" s="94"/>
      <c r="W330" s="94"/>
      <c r="X330" s="94"/>
      <c r="Y330" s="94"/>
      <c r="Z330" s="94"/>
    </row>
    <row r="331">
      <c r="A331" s="1"/>
      <c r="C331" s="44"/>
      <c r="E331" s="44"/>
      <c r="F331" s="94"/>
      <c r="G331" s="94"/>
      <c r="H331" s="94"/>
      <c r="I331" s="94"/>
      <c r="J331" s="94"/>
      <c r="K331" s="94"/>
      <c r="L331" s="94"/>
      <c r="M331" s="94"/>
      <c r="N331" s="94"/>
      <c r="O331" s="94"/>
      <c r="P331" s="94"/>
      <c r="Q331" s="94"/>
      <c r="R331" s="94"/>
      <c r="S331" s="94"/>
      <c r="T331" s="94"/>
      <c r="U331" s="94"/>
      <c r="V331" s="94"/>
      <c r="W331" s="94"/>
      <c r="X331" s="94"/>
      <c r="Y331" s="94"/>
      <c r="Z331" s="94"/>
    </row>
    <row r="332">
      <c r="A332" s="1"/>
      <c r="C332" s="44"/>
      <c r="E332" s="44"/>
      <c r="F332" s="94"/>
      <c r="G332" s="94"/>
      <c r="H332" s="94"/>
      <c r="I332" s="94"/>
      <c r="J332" s="94"/>
      <c r="K332" s="94"/>
      <c r="L332" s="94"/>
      <c r="M332" s="94"/>
      <c r="N332" s="94"/>
      <c r="O332" s="94"/>
      <c r="P332" s="94"/>
      <c r="Q332" s="94"/>
      <c r="R332" s="94"/>
      <c r="S332" s="94"/>
      <c r="T332" s="94"/>
      <c r="U332" s="94"/>
      <c r="V332" s="94"/>
      <c r="W332" s="94"/>
      <c r="X332" s="94"/>
      <c r="Y332" s="94"/>
      <c r="Z332" s="94"/>
    </row>
    <row r="333">
      <c r="A333" s="1"/>
      <c r="C333" s="44"/>
      <c r="E333" s="44"/>
      <c r="F333" s="94"/>
      <c r="G333" s="94"/>
      <c r="H333" s="94"/>
      <c r="I333" s="94"/>
      <c r="J333" s="94"/>
      <c r="K333" s="94"/>
      <c r="L333" s="94"/>
      <c r="M333" s="94"/>
      <c r="N333" s="94"/>
      <c r="O333" s="94"/>
      <c r="P333" s="94"/>
      <c r="Q333" s="94"/>
      <c r="R333" s="94"/>
      <c r="S333" s="94"/>
      <c r="T333" s="94"/>
      <c r="U333" s="94"/>
      <c r="V333" s="94"/>
      <c r="W333" s="94"/>
      <c r="X333" s="94"/>
      <c r="Y333" s="94"/>
      <c r="Z333" s="94"/>
    </row>
    <row r="334">
      <c r="A334" s="1"/>
      <c r="C334" s="44"/>
      <c r="E334" s="44"/>
      <c r="F334" s="94"/>
      <c r="G334" s="94"/>
      <c r="H334" s="94"/>
      <c r="I334" s="94"/>
      <c r="J334" s="94"/>
      <c r="K334" s="94"/>
      <c r="L334" s="94"/>
      <c r="M334" s="94"/>
      <c r="N334" s="94"/>
      <c r="O334" s="94"/>
      <c r="P334" s="94"/>
      <c r="Q334" s="94"/>
      <c r="R334" s="94"/>
      <c r="S334" s="94"/>
      <c r="T334" s="94"/>
      <c r="U334" s="94"/>
      <c r="V334" s="94"/>
      <c r="W334" s="94"/>
      <c r="X334" s="94"/>
      <c r="Y334" s="94"/>
      <c r="Z334" s="94"/>
    </row>
    <row r="335">
      <c r="A335" s="1"/>
      <c r="C335" s="44"/>
      <c r="E335" s="44"/>
      <c r="F335" s="94"/>
      <c r="G335" s="94"/>
      <c r="H335" s="94"/>
      <c r="I335" s="94"/>
      <c r="J335" s="94"/>
      <c r="K335" s="94"/>
      <c r="L335" s="94"/>
      <c r="M335" s="94"/>
      <c r="N335" s="94"/>
      <c r="O335" s="94"/>
      <c r="P335" s="94"/>
      <c r="Q335" s="94"/>
      <c r="R335" s="94"/>
      <c r="S335" s="94"/>
      <c r="T335" s="94"/>
      <c r="U335" s="94"/>
      <c r="V335" s="94"/>
      <c r="W335" s="94"/>
      <c r="X335" s="94"/>
      <c r="Y335" s="94"/>
      <c r="Z335" s="94"/>
    </row>
    <row r="336">
      <c r="A336" s="1"/>
      <c r="C336" s="44"/>
      <c r="E336" s="44"/>
      <c r="F336" s="94"/>
      <c r="G336" s="94"/>
      <c r="H336" s="94"/>
      <c r="I336" s="94"/>
      <c r="J336" s="94"/>
      <c r="K336" s="94"/>
      <c r="L336" s="94"/>
      <c r="M336" s="94"/>
      <c r="N336" s="94"/>
      <c r="O336" s="94"/>
      <c r="P336" s="94"/>
      <c r="Q336" s="94"/>
      <c r="R336" s="94"/>
      <c r="S336" s="94"/>
      <c r="T336" s="94"/>
      <c r="U336" s="94"/>
      <c r="V336" s="94"/>
      <c r="W336" s="94"/>
      <c r="X336" s="94"/>
      <c r="Y336" s="94"/>
      <c r="Z336" s="94"/>
    </row>
    <row r="337">
      <c r="A337" s="1"/>
      <c r="C337" s="44"/>
      <c r="E337" s="44"/>
      <c r="F337" s="94"/>
      <c r="G337" s="94"/>
      <c r="H337" s="94"/>
      <c r="I337" s="94"/>
      <c r="J337" s="94"/>
      <c r="K337" s="94"/>
      <c r="L337" s="94"/>
      <c r="M337" s="94"/>
      <c r="N337" s="94"/>
      <c r="O337" s="94"/>
      <c r="P337" s="94"/>
      <c r="Q337" s="94"/>
      <c r="R337" s="94"/>
      <c r="S337" s="94"/>
      <c r="T337" s="94"/>
      <c r="U337" s="94"/>
      <c r="V337" s="94"/>
      <c r="W337" s="94"/>
      <c r="X337" s="94"/>
      <c r="Y337" s="94"/>
      <c r="Z337" s="94"/>
    </row>
    <row r="338">
      <c r="A338" s="1"/>
      <c r="C338" s="44"/>
      <c r="E338" s="44"/>
      <c r="F338" s="94"/>
      <c r="G338" s="94"/>
      <c r="H338" s="94"/>
      <c r="I338" s="94"/>
      <c r="J338" s="94"/>
      <c r="K338" s="94"/>
      <c r="L338" s="94"/>
      <c r="M338" s="94"/>
      <c r="N338" s="94"/>
      <c r="O338" s="94"/>
      <c r="P338" s="94"/>
      <c r="Q338" s="94"/>
      <c r="R338" s="94"/>
      <c r="S338" s="94"/>
      <c r="T338" s="94"/>
      <c r="U338" s="94"/>
      <c r="V338" s="94"/>
      <c r="W338" s="94"/>
      <c r="X338" s="94"/>
      <c r="Y338" s="94"/>
      <c r="Z338" s="94"/>
    </row>
    <row r="339">
      <c r="A339" s="1"/>
      <c r="C339" s="44"/>
      <c r="E339" s="44"/>
      <c r="F339" s="94"/>
      <c r="G339" s="94"/>
      <c r="H339" s="94"/>
      <c r="I339" s="94"/>
      <c r="J339" s="94"/>
      <c r="K339" s="94"/>
      <c r="L339" s="94"/>
      <c r="M339" s="94"/>
      <c r="N339" s="94"/>
      <c r="O339" s="94"/>
      <c r="P339" s="94"/>
      <c r="Q339" s="94"/>
      <c r="R339" s="94"/>
      <c r="S339" s="94"/>
      <c r="T339" s="94"/>
      <c r="U339" s="94"/>
      <c r="V339" s="94"/>
      <c r="W339" s="94"/>
      <c r="X339" s="94"/>
      <c r="Y339" s="94"/>
      <c r="Z339" s="94"/>
    </row>
    <row r="340">
      <c r="A340" s="1"/>
      <c r="C340" s="44"/>
      <c r="E340" s="44"/>
      <c r="F340" s="94"/>
      <c r="G340" s="94"/>
      <c r="H340" s="94"/>
      <c r="I340" s="94"/>
      <c r="J340" s="94"/>
      <c r="K340" s="94"/>
      <c r="L340" s="94"/>
      <c r="M340" s="94"/>
      <c r="N340" s="94"/>
      <c r="O340" s="94"/>
      <c r="P340" s="94"/>
      <c r="Q340" s="94"/>
      <c r="R340" s="94"/>
      <c r="S340" s="94"/>
      <c r="T340" s="94"/>
      <c r="U340" s="94"/>
      <c r="V340" s="94"/>
      <c r="W340" s="94"/>
      <c r="X340" s="94"/>
      <c r="Y340" s="94"/>
      <c r="Z340" s="94"/>
    </row>
    <row r="341">
      <c r="A341" s="1"/>
      <c r="C341" s="44"/>
      <c r="E341" s="44"/>
      <c r="F341" s="94"/>
      <c r="G341" s="94"/>
      <c r="H341" s="94"/>
      <c r="I341" s="94"/>
      <c r="J341" s="94"/>
      <c r="K341" s="94"/>
      <c r="L341" s="94"/>
      <c r="M341" s="94"/>
      <c r="N341" s="94"/>
      <c r="O341" s="94"/>
      <c r="P341" s="94"/>
      <c r="Q341" s="94"/>
      <c r="R341" s="94"/>
      <c r="S341" s="94"/>
      <c r="T341" s="94"/>
      <c r="U341" s="94"/>
      <c r="V341" s="94"/>
      <c r="W341" s="94"/>
      <c r="X341" s="94"/>
      <c r="Y341" s="94"/>
      <c r="Z341" s="94"/>
    </row>
    <row r="342">
      <c r="A342" s="1"/>
      <c r="C342" s="44"/>
      <c r="E342" s="44"/>
      <c r="F342" s="94"/>
      <c r="G342" s="94"/>
      <c r="H342" s="94"/>
      <c r="I342" s="94"/>
      <c r="J342" s="94"/>
      <c r="K342" s="94"/>
      <c r="L342" s="94"/>
      <c r="M342" s="94"/>
      <c r="N342" s="94"/>
      <c r="O342" s="94"/>
      <c r="P342" s="94"/>
      <c r="Q342" s="94"/>
      <c r="R342" s="94"/>
      <c r="S342" s="94"/>
      <c r="T342" s="94"/>
      <c r="U342" s="94"/>
      <c r="V342" s="94"/>
      <c r="W342" s="94"/>
      <c r="X342" s="94"/>
      <c r="Y342" s="94"/>
      <c r="Z342" s="94"/>
    </row>
    <row r="343">
      <c r="A343" s="1"/>
      <c r="C343" s="44"/>
      <c r="E343" s="44"/>
      <c r="F343" s="94"/>
      <c r="G343" s="94"/>
      <c r="H343" s="94"/>
      <c r="I343" s="94"/>
      <c r="J343" s="94"/>
      <c r="K343" s="94"/>
      <c r="L343" s="94"/>
      <c r="M343" s="94"/>
      <c r="N343" s="94"/>
      <c r="O343" s="94"/>
      <c r="P343" s="94"/>
      <c r="Q343" s="94"/>
      <c r="R343" s="94"/>
      <c r="S343" s="94"/>
      <c r="T343" s="94"/>
      <c r="U343" s="94"/>
      <c r="V343" s="94"/>
      <c r="W343" s="94"/>
      <c r="X343" s="94"/>
      <c r="Y343" s="94"/>
      <c r="Z343" s="94"/>
    </row>
    <row r="344">
      <c r="A344" s="1"/>
      <c r="C344" s="44"/>
      <c r="E344" s="44"/>
      <c r="F344" s="94"/>
      <c r="G344" s="94"/>
      <c r="H344" s="94"/>
      <c r="I344" s="94"/>
      <c r="J344" s="94"/>
      <c r="K344" s="94"/>
      <c r="L344" s="94"/>
      <c r="M344" s="94"/>
      <c r="N344" s="94"/>
      <c r="O344" s="94"/>
      <c r="P344" s="94"/>
      <c r="Q344" s="94"/>
      <c r="R344" s="94"/>
      <c r="S344" s="94"/>
      <c r="T344" s="94"/>
      <c r="U344" s="94"/>
      <c r="V344" s="94"/>
      <c r="W344" s="94"/>
      <c r="X344" s="94"/>
      <c r="Y344" s="94"/>
      <c r="Z344" s="94"/>
    </row>
    <row r="345">
      <c r="A345" s="1"/>
      <c r="C345" s="44"/>
      <c r="E345" s="44"/>
      <c r="F345" s="94"/>
      <c r="G345" s="94"/>
      <c r="H345" s="94"/>
      <c r="I345" s="94"/>
      <c r="J345" s="94"/>
      <c r="K345" s="94"/>
      <c r="L345" s="94"/>
      <c r="M345" s="94"/>
      <c r="N345" s="94"/>
      <c r="O345" s="94"/>
      <c r="P345" s="94"/>
      <c r="Q345" s="94"/>
      <c r="R345" s="94"/>
      <c r="S345" s="94"/>
      <c r="T345" s="94"/>
      <c r="U345" s="94"/>
      <c r="V345" s="94"/>
      <c r="W345" s="94"/>
      <c r="X345" s="94"/>
      <c r="Y345" s="94"/>
      <c r="Z345" s="94"/>
    </row>
    <row r="346">
      <c r="A346" s="1"/>
      <c r="C346" s="44"/>
      <c r="E346" s="44"/>
      <c r="F346" s="94"/>
      <c r="G346" s="94"/>
      <c r="H346" s="94"/>
      <c r="I346" s="94"/>
      <c r="J346" s="94"/>
      <c r="K346" s="94"/>
      <c r="L346" s="94"/>
      <c r="M346" s="94"/>
      <c r="N346" s="94"/>
      <c r="O346" s="94"/>
      <c r="P346" s="94"/>
      <c r="Q346" s="94"/>
      <c r="R346" s="94"/>
      <c r="S346" s="94"/>
      <c r="T346" s="94"/>
      <c r="U346" s="94"/>
      <c r="V346" s="94"/>
      <c r="W346" s="94"/>
      <c r="X346" s="94"/>
      <c r="Y346" s="94"/>
      <c r="Z346" s="94"/>
    </row>
    <row r="347">
      <c r="A347" s="1"/>
      <c r="C347" s="44"/>
      <c r="E347" s="44"/>
      <c r="F347" s="94"/>
      <c r="G347" s="94"/>
      <c r="H347" s="94"/>
      <c r="I347" s="94"/>
      <c r="J347" s="94"/>
      <c r="K347" s="94"/>
      <c r="L347" s="94"/>
      <c r="M347" s="94"/>
      <c r="N347" s="94"/>
      <c r="O347" s="94"/>
      <c r="P347" s="94"/>
      <c r="Q347" s="94"/>
      <c r="R347" s="94"/>
      <c r="S347" s="94"/>
      <c r="T347" s="94"/>
      <c r="U347" s="94"/>
      <c r="V347" s="94"/>
      <c r="W347" s="94"/>
      <c r="X347" s="94"/>
      <c r="Y347" s="94"/>
      <c r="Z347" s="94"/>
    </row>
    <row r="348">
      <c r="A348" s="1"/>
      <c r="C348" s="44"/>
      <c r="E348" s="44"/>
      <c r="F348" s="94"/>
      <c r="G348" s="94"/>
      <c r="H348" s="94"/>
      <c r="I348" s="94"/>
      <c r="J348" s="94"/>
      <c r="K348" s="94"/>
      <c r="L348" s="94"/>
      <c r="M348" s="94"/>
      <c r="N348" s="94"/>
      <c r="O348" s="94"/>
      <c r="P348" s="94"/>
      <c r="Q348" s="94"/>
      <c r="R348" s="94"/>
      <c r="S348" s="94"/>
      <c r="T348" s="94"/>
      <c r="U348" s="94"/>
      <c r="V348" s="94"/>
      <c r="W348" s="94"/>
      <c r="X348" s="94"/>
      <c r="Y348" s="94"/>
      <c r="Z348" s="94"/>
    </row>
    <row r="349">
      <c r="A349" s="1"/>
      <c r="C349" s="44"/>
      <c r="E349" s="44"/>
      <c r="F349" s="94"/>
      <c r="G349" s="94"/>
      <c r="H349" s="94"/>
      <c r="I349" s="94"/>
      <c r="J349" s="94"/>
      <c r="K349" s="94"/>
      <c r="L349" s="94"/>
      <c r="M349" s="94"/>
      <c r="N349" s="94"/>
      <c r="O349" s="94"/>
      <c r="P349" s="94"/>
      <c r="Q349" s="94"/>
      <c r="R349" s="94"/>
      <c r="S349" s="94"/>
      <c r="T349" s="94"/>
      <c r="U349" s="94"/>
      <c r="V349" s="94"/>
      <c r="W349" s="94"/>
      <c r="X349" s="94"/>
      <c r="Y349" s="94"/>
      <c r="Z349" s="94"/>
    </row>
    <row r="350">
      <c r="A350" s="1"/>
      <c r="C350" s="44"/>
      <c r="E350" s="44"/>
      <c r="F350" s="94"/>
      <c r="G350" s="94"/>
      <c r="H350" s="94"/>
      <c r="I350" s="94"/>
      <c r="J350" s="94"/>
      <c r="K350" s="94"/>
      <c r="L350" s="94"/>
      <c r="M350" s="94"/>
      <c r="N350" s="94"/>
      <c r="O350" s="94"/>
      <c r="P350" s="94"/>
      <c r="Q350" s="94"/>
      <c r="R350" s="94"/>
      <c r="S350" s="94"/>
      <c r="T350" s="94"/>
      <c r="U350" s="94"/>
      <c r="V350" s="94"/>
      <c r="W350" s="94"/>
      <c r="X350" s="94"/>
      <c r="Y350" s="94"/>
      <c r="Z350" s="94"/>
    </row>
    <row r="351">
      <c r="A351" s="1"/>
      <c r="C351" s="44"/>
      <c r="E351" s="44"/>
      <c r="F351" s="94"/>
      <c r="G351" s="94"/>
      <c r="H351" s="94"/>
      <c r="I351" s="94"/>
      <c r="J351" s="94"/>
      <c r="K351" s="94"/>
      <c r="L351" s="94"/>
      <c r="M351" s="94"/>
      <c r="N351" s="94"/>
      <c r="O351" s="94"/>
      <c r="P351" s="94"/>
      <c r="Q351" s="94"/>
      <c r="R351" s="94"/>
      <c r="S351" s="94"/>
      <c r="T351" s="94"/>
      <c r="U351" s="94"/>
      <c r="V351" s="94"/>
      <c r="W351" s="94"/>
      <c r="X351" s="94"/>
      <c r="Y351" s="94"/>
      <c r="Z351" s="94"/>
    </row>
    <row r="352">
      <c r="A352" s="1"/>
      <c r="C352" s="44"/>
      <c r="E352" s="44"/>
      <c r="F352" s="94"/>
      <c r="G352" s="94"/>
      <c r="H352" s="94"/>
      <c r="I352" s="94"/>
      <c r="J352" s="94"/>
      <c r="K352" s="94"/>
      <c r="L352" s="94"/>
      <c r="M352" s="94"/>
      <c r="N352" s="94"/>
      <c r="O352" s="94"/>
      <c r="P352" s="94"/>
      <c r="Q352" s="94"/>
      <c r="R352" s="94"/>
      <c r="S352" s="94"/>
      <c r="T352" s="94"/>
      <c r="U352" s="94"/>
      <c r="V352" s="94"/>
      <c r="W352" s="94"/>
      <c r="X352" s="94"/>
      <c r="Y352" s="94"/>
      <c r="Z352" s="94"/>
    </row>
    <row r="353">
      <c r="A353" s="1"/>
      <c r="C353" s="44"/>
      <c r="E353" s="44"/>
      <c r="F353" s="94"/>
      <c r="G353" s="94"/>
      <c r="H353" s="94"/>
      <c r="I353" s="94"/>
      <c r="J353" s="94"/>
      <c r="K353" s="94"/>
      <c r="L353" s="94"/>
      <c r="M353" s="94"/>
      <c r="N353" s="94"/>
      <c r="O353" s="94"/>
      <c r="P353" s="94"/>
      <c r="Q353" s="94"/>
      <c r="R353" s="94"/>
      <c r="S353" s="94"/>
      <c r="T353" s="94"/>
      <c r="U353" s="94"/>
      <c r="V353" s="94"/>
      <c r="W353" s="94"/>
      <c r="X353" s="94"/>
      <c r="Y353" s="94"/>
      <c r="Z353" s="94"/>
    </row>
    <row r="354">
      <c r="A354" s="1"/>
      <c r="C354" s="44"/>
      <c r="E354" s="44"/>
      <c r="F354" s="94"/>
      <c r="G354" s="94"/>
      <c r="H354" s="94"/>
      <c r="I354" s="94"/>
      <c r="J354" s="94"/>
      <c r="K354" s="94"/>
      <c r="L354" s="94"/>
      <c r="M354" s="94"/>
      <c r="N354" s="94"/>
      <c r="O354" s="94"/>
      <c r="P354" s="94"/>
      <c r="Q354" s="94"/>
      <c r="R354" s="94"/>
      <c r="S354" s="94"/>
      <c r="T354" s="94"/>
      <c r="U354" s="94"/>
      <c r="V354" s="94"/>
      <c r="W354" s="94"/>
      <c r="X354" s="94"/>
      <c r="Y354" s="94"/>
      <c r="Z354" s="94"/>
    </row>
    <row r="355">
      <c r="A355" s="1"/>
      <c r="C355" s="44"/>
      <c r="E355" s="44"/>
      <c r="F355" s="94"/>
      <c r="G355" s="94"/>
      <c r="H355" s="94"/>
      <c r="I355" s="94"/>
      <c r="J355" s="94"/>
      <c r="K355" s="94"/>
      <c r="L355" s="94"/>
      <c r="M355" s="94"/>
      <c r="N355" s="94"/>
      <c r="O355" s="94"/>
      <c r="P355" s="94"/>
      <c r="Q355" s="94"/>
      <c r="R355" s="94"/>
      <c r="S355" s="94"/>
      <c r="T355" s="94"/>
      <c r="U355" s="94"/>
      <c r="V355" s="94"/>
      <c r="W355" s="94"/>
      <c r="X355" s="94"/>
      <c r="Y355" s="94"/>
      <c r="Z355" s="94"/>
    </row>
    <row r="356">
      <c r="A356" s="1"/>
      <c r="C356" s="44"/>
      <c r="E356" s="44"/>
      <c r="F356" s="94"/>
      <c r="G356" s="94"/>
      <c r="H356" s="94"/>
      <c r="I356" s="94"/>
      <c r="J356" s="94"/>
      <c r="K356" s="94"/>
      <c r="L356" s="94"/>
      <c r="M356" s="94"/>
      <c r="N356" s="94"/>
      <c r="O356" s="94"/>
      <c r="P356" s="94"/>
      <c r="Q356" s="94"/>
      <c r="R356" s="94"/>
      <c r="S356" s="94"/>
      <c r="T356" s="94"/>
      <c r="U356" s="94"/>
      <c r="V356" s="94"/>
      <c r="W356" s="94"/>
      <c r="X356" s="94"/>
      <c r="Y356" s="94"/>
      <c r="Z356" s="94"/>
    </row>
    <row r="357">
      <c r="A357" s="1"/>
      <c r="C357" s="44"/>
      <c r="E357" s="44"/>
      <c r="F357" s="94"/>
      <c r="G357" s="94"/>
      <c r="H357" s="94"/>
      <c r="I357" s="94"/>
      <c r="J357" s="94"/>
      <c r="K357" s="94"/>
      <c r="L357" s="94"/>
      <c r="M357" s="94"/>
      <c r="N357" s="94"/>
      <c r="O357" s="94"/>
      <c r="P357" s="94"/>
      <c r="Q357" s="94"/>
      <c r="R357" s="94"/>
      <c r="S357" s="94"/>
      <c r="T357" s="94"/>
      <c r="U357" s="94"/>
      <c r="V357" s="94"/>
      <c r="W357" s="94"/>
      <c r="X357" s="94"/>
      <c r="Y357" s="94"/>
      <c r="Z357" s="94"/>
    </row>
    <row r="358">
      <c r="A358" s="1"/>
      <c r="C358" s="44"/>
      <c r="E358" s="44"/>
      <c r="F358" s="94"/>
      <c r="G358" s="94"/>
      <c r="H358" s="94"/>
      <c r="I358" s="94"/>
      <c r="J358" s="94"/>
      <c r="K358" s="94"/>
      <c r="L358" s="94"/>
      <c r="M358" s="94"/>
      <c r="N358" s="94"/>
      <c r="O358" s="94"/>
      <c r="P358" s="94"/>
      <c r="Q358" s="94"/>
      <c r="R358" s="94"/>
      <c r="S358" s="94"/>
      <c r="T358" s="94"/>
      <c r="U358" s="94"/>
      <c r="V358" s="94"/>
      <c r="W358" s="94"/>
      <c r="X358" s="94"/>
      <c r="Y358" s="94"/>
      <c r="Z358" s="94"/>
    </row>
    <row r="359">
      <c r="A359" s="1"/>
      <c r="C359" s="44"/>
      <c r="E359" s="44"/>
      <c r="F359" s="94"/>
      <c r="G359" s="94"/>
      <c r="H359" s="94"/>
      <c r="I359" s="94"/>
      <c r="J359" s="94"/>
      <c r="K359" s="94"/>
      <c r="L359" s="94"/>
      <c r="M359" s="94"/>
      <c r="N359" s="94"/>
      <c r="O359" s="94"/>
      <c r="P359" s="94"/>
      <c r="Q359" s="94"/>
      <c r="R359" s="94"/>
      <c r="S359" s="94"/>
      <c r="T359" s="94"/>
      <c r="U359" s="94"/>
      <c r="V359" s="94"/>
      <c r="W359" s="94"/>
      <c r="X359" s="94"/>
      <c r="Y359" s="94"/>
      <c r="Z359" s="94"/>
    </row>
    <row r="360">
      <c r="A360" s="1"/>
      <c r="C360" s="44"/>
      <c r="E360" s="44"/>
      <c r="F360" s="94"/>
      <c r="G360" s="94"/>
      <c r="H360" s="94"/>
      <c r="I360" s="94"/>
      <c r="J360" s="94"/>
      <c r="K360" s="94"/>
      <c r="L360" s="94"/>
      <c r="M360" s="94"/>
      <c r="N360" s="94"/>
      <c r="O360" s="94"/>
      <c r="P360" s="94"/>
      <c r="Q360" s="94"/>
      <c r="R360" s="94"/>
      <c r="S360" s="94"/>
      <c r="T360" s="94"/>
      <c r="U360" s="94"/>
      <c r="V360" s="94"/>
      <c r="W360" s="94"/>
      <c r="X360" s="94"/>
      <c r="Y360" s="94"/>
      <c r="Z360" s="94"/>
    </row>
    <row r="361">
      <c r="A361" s="1"/>
      <c r="C361" s="44"/>
      <c r="E361" s="44"/>
      <c r="F361" s="94"/>
      <c r="G361" s="94"/>
      <c r="H361" s="94"/>
      <c r="I361" s="94"/>
      <c r="J361" s="94"/>
      <c r="K361" s="94"/>
      <c r="L361" s="94"/>
      <c r="M361" s="94"/>
      <c r="N361" s="94"/>
      <c r="O361" s="94"/>
      <c r="P361" s="94"/>
      <c r="Q361" s="94"/>
      <c r="R361" s="94"/>
      <c r="S361" s="94"/>
      <c r="T361" s="94"/>
      <c r="U361" s="94"/>
      <c r="V361" s="94"/>
      <c r="W361" s="94"/>
      <c r="X361" s="94"/>
      <c r="Y361" s="94"/>
      <c r="Z361" s="94"/>
    </row>
    <row r="362">
      <c r="A362" s="1"/>
      <c r="C362" s="44"/>
      <c r="E362" s="44"/>
      <c r="F362" s="94"/>
      <c r="G362" s="94"/>
      <c r="H362" s="94"/>
      <c r="I362" s="94"/>
      <c r="J362" s="94"/>
      <c r="K362" s="94"/>
      <c r="L362" s="94"/>
      <c r="M362" s="94"/>
      <c r="N362" s="94"/>
      <c r="O362" s="94"/>
      <c r="P362" s="94"/>
      <c r="Q362" s="94"/>
      <c r="R362" s="94"/>
      <c r="S362" s="94"/>
      <c r="T362" s="94"/>
      <c r="U362" s="94"/>
      <c r="V362" s="94"/>
      <c r="W362" s="94"/>
      <c r="X362" s="94"/>
      <c r="Y362" s="94"/>
      <c r="Z362" s="94"/>
    </row>
    <row r="363">
      <c r="A363" s="1"/>
      <c r="C363" s="44"/>
      <c r="E363" s="44"/>
      <c r="F363" s="94"/>
      <c r="G363" s="94"/>
      <c r="H363" s="94"/>
      <c r="I363" s="94"/>
      <c r="J363" s="94"/>
      <c r="K363" s="94"/>
      <c r="L363" s="94"/>
      <c r="M363" s="94"/>
      <c r="N363" s="94"/>
      <c r="O363" s="94"/>
      <c r="P363" s="94"/>
      <c r="Q363" s="94"/>
      <c r="R363" s="94"/>
      <c r="S363" s="94"/>
      <c r="T363" s="94"/>
      <c r="U363" s="94"/>
      <c r="V363" s="94"/>
      <c r="W363" s="94"/>
      <c r="X363" s="94"/>
      <c r="Y363" s="94"/>
      <c r="Z363" s="94"/>
    </row>
    <row r="364">
      <c r="A364" s="1"/>
      <c r="C364" s="44"/>
      <c r="E364" s="44"/>
      <c r="F364" s="94"/>
      <c r="G364" s="94"/>
      <c r="H364" s="94"/>
      <c r="I364" s="94"/>
      <c r="J364" s="94"/>
      <c r="K364" s="94"/>
      <c r="L364" s="94"/>
      <c r="M364" s="94"/>
      <c r="N364" s="94"/>
      <c r="O364" s="94"/>
      <c r="P364" s="94"/>
      <c r="Q364" s="94"/>
      <c r="R364" s="94"/>
      <c r="S364" s="94"/>
      <c r="T364" s="94"/>
      <c r="U364" s="94"/>
      <c r="V364" s="94"/>
      <c r="W364" s="94"/>
      <c r="X364" s="94"/>
      <c r="Y364" s="94"/>
      <c r="Z364" s="94"/>
    </row>
    <row r="365">
      <c r="A365" s="1"/>
      <c r="C365" s="44"/>
      <c r="E365" s="44"/>
      <c r="F365" s="94"/>
      <c r="G365" s="94"/>
      <c r="H365" s="94"/>
      <c r="I365" s="94"/>
      <c r="J365" s="94"/>
      <c r="K365" s="94"/>
      <c r="L365" s="94"/>
      <c r="M365" s="94"/>
      <c r="N365" s="94"/>
      <c r="O365" s="94"/>
      <c r="P365" s="94"/>
      <c r="Q365" s="94"/>
      <c r="R365" s="94"/>
      <c r="S365" s="94"/>
      <c r="T365" s="94"/>
      <c r="U365" s="94"/>
      <c r="V365" s="94"/>
      <c r="W365" s="94"/>
      <c r="X365" s="94"/>
      <c r="Y365" s="94"/>
      <c r="Z365" s="94"/>
    </row>
    <row r="366">
      <c r="A366" s="1"/>
      <c r="C366" s="44"/>
      <c r="E366" s="44"/>
      <c r="F366" s="94"/>
      <c r="G366" s="94"/>
      <c r="H366" s="94"/>
      <c r="I366" s="94"/>
      <c r="J366" s="94"/>
      <c r="K366" s="94"/>
      <c r="L366" s="94"/>
      <c r="M366" s="94"/>
      <c r="N366" s="94"/>
      <c r="O366" s="94"/>
      <c r="P366" s="94"/>
      <c r="Q366" s="94"/>
      <c r="R366" s="94"/>
      <c r="S366" s="94"/>
      <c r="T366" s="94"/>
      <c r="U366" s="94"/>
      <c r="V366" s="94"/>
      <c r="W366" s="94"/>
      <c r="X366" s="94"/>
      <c r="Y366" s="94"/>
      <c r="Z366" s="94"/>
    </row>
    <row r="367">
      <c r="A367" s="1"/>
      <c r="C367" s="44"/>
      <c r="E367" s="44"/>
      <c r="F367" s="94"/>
      <c r="G367" s="94"/>
      <c r="H367" s="94"/>
      <c r="I367" s="94"/>
      <c r="J367" s="94"/>
      <c r="K367" s="94"/>
      <c r="L367" s="94"/>
      <c r="M367" s="94"/>
      <c r="N367" s="94"/>
      <c r="O367" s="94"/>
      <c r="P367" s="94"/>
      <c r="Q367" s="94"/>
      <c r="R367" s="94"/>
      <c r="S367" s="94"/>
      <c r="T367" s="94"/>
      <c r="U367" s="94"/>
      <c r="V367" s="94"/>
      <c r="W367" s="94"/>
      <c r="X367" s="94"/>
      <c r="Y367" s="94"/>
      <c r="Z367" s="94"/>
    </row>
    <row r="368">
      <c r="A368" s="1"/>
      <c r="C368" s="44"/>
      <c r="E368" s="44"/>
      <c r="F368" s="94"/>
      <c r="G368" s="94"/>
      <c r="H368" s="94"/>
      <c r="I368" s="94"/>
      <c r="J368" s="94"/>
      <c r="K368" s="94"/>
      <c r="L368" s="94"/>
      <c r="M368" s="94"/>
      <c r="N368" s="94"/>
      <c r="O368" s="94"/>
      <c r="P368" s="94"/>
      <c r="Q368" s="94"/>
      <c r="R368" s="94"/>
      <c r="S368" s="94"/>
      <c r="T368" s="94"/>
      <c r="U368" s="94"/>
      <c r="V368" s="94"/>
      <c r="W368" s="94"/>
      <c r="X368" s="94"/>
      <c r="Y368" s="94"/>
      <c r="Z368" s="94"/>
    </row>
    <row r="369">
      <c r="A369" s="1"/>
      <c r="C369" s="44"/>
      <c r="E369" s="44"/>
      <c r="F369" s="94"/>
      <c r="G369" s="94"/>
      <c r="H369" s="94"/>
      <c r="I369" s="94"/>
      <c r="J369" s="94"/>
      <c r="K369" s="94"/>
      <c r="L369" s="94"/>
      <c r="M369" s="94"/>
      <c r="N369" s="94"/>
      <c r="O369" s="94"/>
      <c r="P369" s="94"/>
      <c r="Q369" s="94"/>
      <c r="R369" s="94"/>
      <c r="S369" s="94"/>
      <c r="T369" s="94"/>
      <c r="U369" s="94"/>
      <c r="V369" s="94"/>
      <c r="W369" s="94"/>
      <c r="X369" s="94"/>
      <c r="Y369" s="94"/>
      <c r="Z369" s="94"/>
    </row>
    <row r="370">
      <c r="A370" s="1"/>
      <c r="C370" s="44"/>
      <c r="E370" s="44"/>
      <c r="F370" s="94"/>
      <c r="G370" s="94"/>
      <c r="H370" s="94"/>
      <c r="I370" s="94"/>
      <c r="J370" s="94"/>
      <c r="K370" s="94"/>
      <c r="L370" s="94"/>
      <c r="M370" s="94"/>
      <c r="N370" s="94"/>
      <c r="O370" s="94"/>
      <c r="P370" s="94"/>
      <c r="Q370" s="94"/>
      <c r="R370" s="94"/>
      <c r="S370" s="94"/>
      <c r="T370" s="94"/>
      <c r="U370" s="94"/>
      <c r="V370" s="94"/>
      <c r="W370" s="94"/>
      <c r="X370" s="94"/>
      <c r="Y370" s="94"/>
      <c r="Z370" s="94"/>
    </row>
    <row r="371">
      <c r="A371" s="1"/>
      <c r="C371" s="44"/>
      <c r="E371" s="44"/>
      <c r="F371" s="94"/>
      <c r="G371" s="94"/>
      <c r="H371" s="94"/>
      <c r="I371" s="94"/>
      <c r="J371" s="94"/>
      <c r="K371" s="94"/>
      <c r="L371" s="94"/>
      <c r="M371" s="94"/>
      <c r="N371" s="94"/>
      <c r="O371" s="94"/>
      <c r="P371" s="94"/>
      <c r="Q371" s="94"/>
      <c r="R371" s="94"/>
      <c r="S371" s="94"/>
      <c r="T371" s="94"/>
      <c r="U371" s="94"/>
      <c r="V371" s="94"/>
      <c r="W371" s="94"/>
      <c r="X371" s="94"/>
      <c r="Y371" s="94"/>
      <c r="Z371" s="94"/>
    </row>
    <row r="372">
      <c r="A372" s="1"/>
      <c r="C372" s="44"/>
      <c r="E372" s="44"/>
      <c r="F372" s="94"/>
      <c r="G372" s="94"/>
      <c r="H372" s="94"/>
      <c r="I372" s="94"/>
      <c r="J372" s="94"/>
      <c r="K372" s="94"/>
      <c r="L372" s="94"/>
      <c r="M372" s="94"/>
      <c r="N372" s="94"/>
      <c r="O372" s="94"/>
      <c r="P372" s="94"/>
      <c r="Q372" s="94"/>
      <c r="R372" s="94"/>
      <c r="S372" s="94"/>
      <c r="T372" s="94"/>
      <c r="U372" s="94"/>
      <c r="V372" s="94"/>
      <c r="W372" s="94"/>
      <c r="X372" s="94"/>
      <c r="Y372" s="94"/>
      <c r="Z372" s="94"/>
    </row>
    <row r="373">
      <c r="A373" s="1"/>
      <c r="C373" s="44"/>
      <c r="E373" s="44"/>
      <c r="F373" s="94"/>
      <c r="G373" s="94"/>
      <c r="H373" s="94"/>
      <c r="I373" s="94"/>
      <c r="J373" s="94"/>
      <c r="K373" s="94"/>
      <c r="L373" s="94"/>
      <c r="M373" s="94"/>
      <c r="N373" s="94"/>
      <c r="O373" s="94"/>
      <c r="P373" s="94"/>
      <c r="Q373" s="94"/>
      <c r="R373" s="94"/>
      <c r="S373" s="94"/>
      <c r="T373" s="94"/>
      <c r="U373" s="94"/>
      <c r="V373" s="94"/>
      <c r="W373" s="94"/>
      <c r="X373" s="94"/>
      <c r="Y373" s="94"/>
      <c r="Z373" s="94"/>
    </row>
    <row r="374">
      <c r="A374" s="1"/>
      <c r="C374" s="44"/>
      <c r="E374" s="44"/>
      <c r="F374" s="94"/>
      <c r="G374" s="94"/>
      <c r="H374" s="94"/>
      <c r="I374" s="94"/>
      <c r="J374" s="94"/>
      <c r="K374" s="94"/>
      <c r="L374" s="94"/>
      <c r="M374" s="94"/>
      <c r="N374" s="94"/>
      <c r="O374" s="94"/>
      <c r="P374" s="94"/>
      <c r="Q374" s="94"/>
      <c r="R374" s="94"/>
      <c r="S374" s="94"/>
      <c r="T374" s="94"/>
      <c r="U374" s="94"/>
      <c r="V374" s="94"/>
      <c r="W374" s="94"/>
      <c r="X374" s="94"/>
      <c r="Y374" s="94"/>
      <c r="Z374" s="94"/>
    </row>
    <row r="375">
      <c r="A375" s="1"/>
      <c r="C375" s="44"/>
      <c r="E375" s="44"/>
      <c r="F375" s="94"/>
      <c r="G375" s="94"/>
      <c r="H375" s="94"/>
      <c r="I375" s="94"/>
      <c r="J375" s="94"/>
      <c r="K375" s="94"/>
      <c r="L375" s="94"/>
      <c r="M375" s="94"/>
      <c r="N375" s="94"/>
      <c r="O375" s="94"/>
      <c r="P375" s="94"/>
      <c r="Q375" s="94"/>
      <c r="R375" s="94"/>
      <c r="S375" s="94"/>
      <c r="T375" s="94"/>
      <c r="U375" s="94"/>
      <c r="V375" s="94"/>
      <c r="W375" s="94"/>
      <c r="X375" s="94"/>
      <c r="Y375" s="94"/>
      <c r="Z375" s="94"/>
    </row>
    <row r="376">
      <c r="A376" s="1"/>
      <c r="C376" s="44"/>
      <c r="E376" s="44"/>
      <c r="F376" s="94"/>
      <c r="G376" s="94"/>
      <c r="H376" s="94"/>
      <c r="I376" s="94"/>
      <c r="J376" s="94"/>
      <c r="K376" s="94"/>
      <c r="L376" s="94"/>
      <c r="M376" s="94"/>
      <c r="N376" s="94"/>
      <c r="O376" s="94"/>
      <c r="P376" s="94"/>
      <c r="Q376" s="94"/>
      <c r="R376" s="94"/>
      <c r="S376" s="94"/>
      <c r="T376" s="94"/>
      <c r="U376" s="94"/>
      <c r="V376" s="94"/>
      <c r="W376" s="94"/>
      <c r="X376" s="94"/>
      <c r="Y376" s="94"/>
      <c r="Z376" s="94"/>
    </row>
    <row r="377">
      <c r="A377" s="1"/>
      <c r="C377" s="44"/>
      <c r="E377" s="44"/>
      <c r="F377" s="94"/>
      <c r="G377" s="94"/>
      <c r="H377" s="94"/>
      <c r="I377" s="94"/>
      <c r="J377" s="94"/>
      <c r="K377" s="94"/>
      <c r="L377" s="94"/>
      <c r="M377" s="94"/>
      <c r="N377" s="94"/>
      <c r="O377" s="94"/>
      <c r="P377" s="94"/>
      <c r="Q377" s="94"/>
      <c r="R377" s="94"/>
      <c r="S377" s="94"/>
      <c r="T377" s="94"/>
      <c r="U377" s="94"/>
      <c r="V377" s="94"/>
      <c r="W377" s="94"/>
      <c r="X377" s="94"/>
      <c r="Y377" s="94"/>
      <c r="Z377" s="94"/>
    </row>
    <row r="378">
      <c r="A378" s="1"/>
      <c r="C378" s="44"/>
      <c r="E378" s="44"/>
      <c r="F378" s="94"/>
      <c r="G378" s="94"/>
      <c r="H378" s="94"/>
      <c r="I378" s="94"/>
      <c r="J378" s="94"/>
      <c r="K378" s="94"/>
      <c r="L378" s="94"/>
      <c r="M378" s="94"/>
      <c r="N378" s="94"/>
      <c r="O378" s="94"/>
      <c r="P378" s="94"/>
      <c r="Q378" s="94"/>
      <c r="R378" s="94"/>
      <c r="S378" s="94"/>
      <c r="T378" s="94"/>
      <c r="U378" s="94"/>
      <c r="V378" s="94"/>
      <c r="W378" s="94"/>
      <c r="X378" s="94"/>
      <c r="Y378" s="94"/>
      <c r="Z378" s="94"/>
    </row>
    <row r="379">
      <c r="A379" s="1"/>
      <c r="C379" s="44"/>
      <c r="E379" s="44"/>
      <c r="F379" s="94"/>
      <c r="G379" s="94"/>
      <c r="H379" s="94"/>
      <c r="I379" s="94"/>
      <c r="J379" s="94"/>
      <c r="K379" s="94"/>
      <c r="L379" s="94"/>
      <c r="M379" s="94"/>
      <c r="N379" s="94"/>
      <c r="O379" s="94"/>
      <c r="P379" s="94"/>
      <c r="Q379" s="94"/>
      <c r="R379" s="94"/>
      <c r="S379" s="94"/>
      <c r="T379" s="94"/>
      <c r="U379" s="94"/>
      <c r="V379" s="94"/>
      <c r="W379" s="94"/>
      <c r="X379" s="94"/>
      <c r="Y379" s="94"/>
      <c r="Z379" s="94"/>
    </row>
    <row r="380">
      <c r="A380" s="1"/>
      <c r="C380" s="44"/>
      <c r="E380" s="44"/>
      <c r="F380" s="94"/>
      <c r="G380" s="94"/>
      <c r="H380" s="94"/>
      <c r="I380" s="94"/>
      <c r="J380" s="94"/>
      <c r="K380" s="94"/>
      <c r="L380" s="94"/>
      <c r="M380" s="94"/>
      <c r="N380" s="94"/>
      <c r="O380" s="94"/>
      <c r="P380" s="94"/>
      <c r="Q380" s="94"/>
      <c r="R380" s="94"/>
      <c r="S380" s="94"/>
      <c r="T380" s="94"/>
      <c r="U380" s="94"/>
      <c r="V380" s="94"/>
      <c r="W380" s="94"/>
      <c r="X380" s="94"/>
      <c r="Y380" s="94"/>
      <c r="Z380" s="94"/>
    </row>
    <row r="381">
      <c r="A381" s="1"/>
      <c r="C381" s="44"/>
      <c r="E381" s="44"/>
      <c r="F381" s="94"/>
      <c r="G381" s="94"/>
      <c r="H381" s="94"/>
      <c r="I381" s="94"/>
      <c r="J381" s="94"/>
      <c r="K381" s="94"/>
      <c r="L381" s="94"/>
      <c r="M381" s="94"/>
      <c r="N381" s="94"/>
      <c r="O381" s="94"/>
      <c r="P381" s="94"/>
      <c r="Q381" s="94"/>
      <c r="R381" s="94"/>
      <c r="S381" s="94"/>
      <c r="T381" s="94"/>
      <c r="U381" s="94"/>
      <c r="V381" s="94"/>
      <c r="W381" s="94"/>
      <c r="X381" s="94"/>
      <c r="Y381" s="94"/>
      <c r="Z381" s="94"/>
    </row>
    <row r="382">
      <c r="A382" s="1"/>
      <c r="C382" s="44"/>
      <c r="E382" s="44"/>
      <c r="F382" s="94"/>
      <c r="G382" s="94"/>
      <c r="H382" s="94"/>
      <c r="I382" s="94"/>
      <c r="J382" s="94"/>
      <c r="K382" s="94"/>
      <c r="L382" s="94"/>
      <c r="M382" s="94"/>
      <c r="N382" s="94"/>
      <c r="O382" s="94"/>
      <c r="P382" s="94"/>
      <c r="Q382" s="94"/>
      <c r="R382" s="94"/>
      <c r="S382" s="94"/>
      <c r="T382" s="94"/>
      <c r="U382" s="94"/>
      <c r="V382" s="94"/>
      <c r="W382" s="94"/>
      <c r="X382" s="94"/>
      <c r="Y382" s="94"/>
      <c r="Z382" s="94"/>
    </row>
    <row r="383">
      <c r="A383" s="1"/>
      <c r="C383" s="44"/>
      <c r="E383" s="44"/>
      <c r="F383" s="94"/>
      <c r="G383" s="94"/>
      <c r="H383" s="94"/>
      <c r="I383" s="94"/>
      <c r="J383" s="94"/>
      <c r="K383" s="94"/>
      <c r="L383" s="94"/>
      <c r="M383" s="94"/>
      <c r="N383" s="94"/>
      <c r="O383" s="94"/>
      <c r="P383" s="94"/>
      <c r="Q383" s="94"/>
      <c r="R383" s="94"/>
      <c r="S383" s="94"/>
      <c r="T383" s="94"/>
      <c r="U383" s="94"/>
      <c r="V383" s="94"/>
      <c r="W383" s="94"/>
      <c r="X383" s="94"/>
      <c r="Y383" s="94"/>
      <c r="Z383" s="94"/>
    </row>
    <row r="384">
      <c r="A384" s="1"/>
      <c r="C384" s="44"/>
      <c r="E384" s="44"/>
      <c r="F384" s="94"/>
      <c r="G384" s="94"/>
      <c r="H384" s="94"/>
      <c r="I384" s="94"/>
      <c r="J384" s="94"/>
      <c r="K384" s="94"/>
      <c r="L384" s="94"/>
      <c r="M384" s="94"/>
      <c r="N384" s="94"/>
      <c r="O384" s="94"/>
      <c r="P384" s="94"/>
      <c r="Q384" s="94"/>
      <c r="R384" s="94"/>
      <c r="S384" s="94"/>
      <c r="T384" s="94"/>
      <c r="U384" s="94"/>
      <c r="V384" s="94"/>
      <c r="W384" s="94"/>
      <c r="X384" s="94"/>
      <c r="Y384" s="94"/>
      <c r="Z384" s="94"/>
    </row>
    <row r="385">
      <c r="A385" s="1"/>
      <c r="C385" s="44"/>
      <c r="E385" s="44"/>
      <c r="F385" s="94"/>
      <c r="G385" s="94"/>
      <c r="H385" s="94"/>
      <c r="I385" s="94"/>
      <c r="J385" s="94"/>
      <c r="K385" s="94"/>
      <c r="L385" s="94"/>
      <c r="M385" s="94"/>
      <c r="N385" s="94"/>
      <c r="O385" s="94"/>
      <c r="P385" s="94"/>
      <c r="Q385" s="94"/>
      <c r="R385" s="94"/>
      <c r="S385" s="94"/>
      <c r="T385" s="94"/>
      <c r="U385" s="94"/>
      <c r="V385" s="94"/>
      <c r="W385" s="94"/>
      <c r="X385" s="94"/>
      <c r="Y385" s="94"/>
      <c r="Z385" s="94"/>
    </row>
    <row r="386">
      <c r="A386" s="1"/>
      <c r="C386" s="44"/>
      <c r="E386" s="44"/>
      <c r="F386" s="94"/>
      <c r="G386" s="94"/>
      <c r="H386" s="94"/>
      <c r="I386" s="94"/>
      <c r="J386" s="94"/>
      <c r="K386" s="94"/>
      <c r="L386" s="94"/>
      <c r="M386" s="94"/>
      <c r="N386" s="94"/>
      <c r="O386" s="94"/>
      <c r="P386" s="94"/>
      <c r="Q386" s="94"/>
      <c r="R386" s="94"/>
      <c r="S386" s="94"/>
      <c r="T386" s="94"/>
      <c r="U386" s="94"/>
      <c r="V386" s="94"/>
      <c r="W386" s="94"/>
      <c r="X386" s="94"/>
      <c r="Y386" s="94"/>
      <c r="Z386" s="94"/>
    </row>
    <row r="387">
      <c r="A387" s="1"/>
      <c r="C387" s="44"/>
      <c r="E387" s="44"/>
      <c r="F387" s="94"/>
      <c r="G387" s="94"/>
      <c r="H387" s="94"/>
      <c r="I387" s="94"/>
      <c r="J387" s="94"/>
      <c r="K387" s="94"/>
      <c r="L387" s="94"/>
      <c r="M387" s="94"/>
      <c r="N387" s="94"/>
      <c r="O387" s="94"/>
      <c r="P387" s="94"/>
      <c r="Q387" s="94"/>
      <c r="R387" s="94"/>
      <c r="S387" s="94"/>
      <c r="T387" s="94"/>
      <c r="U387" s="94"/>
      <c r="V387" s="94"/>
      <c r="W387" s="94"/>
      <c r="X387" s="94"/>
      <c r="Y387" s="94"/>
      <c r="Z387" s="94"/>
    </row>
    <row r="388">
      <c r="A388" s="1"/>
      <c r="C388" s="44"/>
      <c r="E388" s="44"/>
      <c r="F388" s="94"/>
      <c r="G388" s="94"/>
      <c r="H388" s="94"/>
      <c r="I388" s="94"/>
      <c r="J388" s="94"/>
      <c r="K388" s="94"/>
      <c r="L388" s="94"/>
      <c r="M388" s="94"/>
      <c r="N388" s="94"/>
      <c r="O388" s="94"/>
      <c r="P388" s="94"/>
      <c r="Q388" s="94"/>
      <c r="R388" s="94"/>
      <c r="S388" s="94"/>
      <c r="T388" s="94"/>
      <c r="U388" s="94"/>
      <c r="V388" s="94"/>
      <c r="W388" s="94"/>
      <c r="X388" s="94"/>
      <c r="Y388" s="94"/>
      <c r="Z388" s="94"/>
    </row>
    <row r="389">
      <c r="A389" s="1"/>
      <c r="C389" s="44"/>
      <c r="E389" s="44"/>
      <c r="F389" s="94"/>
      <c r="G389" s="94"/>
      <c r="H389" s="94"/>
      <c r="I389" s="94"/>
      <c r="J389" s="94"/>
      <c r="K389" s="94"/>
      <c r="L389" s="94"/>
      <c r="M389" s="94"/>
      <c r="N389" s="94"/>
      <c r="O389" s="94"/>
      <c r="P389" s="94"/>
      <c r="Q389" s="94"/>
      <c r="R389" s="94"/>
      <c r="S389" s="94"/>
      <c r="T389" s="94"/>
      <c r="U389" s="94"/>
      <c r="V389" s="94"/>
      <c r="W389" s="94"/>
      <c r="X389" s="94"/>
      <c r="Y389" s="94"/>
      <c r="Z389" s="94"/>
    </row>
    <row r="390">
      <c r="A390" s="1"/>
      <c r="C390" s="44"/>
      <c r="E390" s="44"/>
      <c r="F390" s="94"/>
      <c r="G390" s="94"/>
      <c r="H390" s="94"/>
      <c r="I390" s="94"/>
      <c r="J390" s="94"/>
      <c r="K390" s="94"/>
      <c r="L390" s="94"/>
      <c r="M390" s="94"/>
      <c r="N390" s="94"/>
      <c r="O390" s="94"/>
      <c r="P390" s="94"/>
      <c r="Q390" s="94"/>
      <c r="R390" s="94"/>
      <c r="S390" s="94"/>
      <c r="T390" s="94"/>
      <c r="U390" s="94"/>
      <c r="V390" s="94"/>
      <c r="W390" s="94"/>
      <c r="X390" s="94"/>
      <c r="Y390" s="94"/>
      <c r="Z390" s="94"/>
    </row>
    <row r="391">
      <c r="A391" s="1"/>
      <c r="C391" s="44"/>
      <c r="E391" s="44"/>
      <c r="F391" s="94"/>
      <c r="G391" s="94"/>
      <c r="H391" s="94"/>
      <c r="I391" s="94"/>
      <c r="J391" s="94"/>
      <c r="K391" s="94"/>
      <c r="L391" s="94"/>
      <c r="M391" s="94"/>
      <c r="N391" s="94"/>
      <c r="O391" s="94"/>
      <c r="P391" s="94"/>
      <c r="Q391" s="94"/>
      <c r="R391" s="94"/>
      <c r="S391" s="94"/>
      <c r="T391" s="94"/>
      <c r="U391" s="94"/>
      <c r="V391" s="94"/>
      <c r="W391" s="94"/>
      <c r="X391" s="94"/>
      <c r="Y391" s="94"/>
      <c r="Z391" s="94"/>
    </row>
    <row r="392">
      <c r="A392" s="1"/>
      <c r="C392" s="44"/>
      <c r="E392" s="44"/>
      <c r="F392" s="94"/>
      <c r="G392" s="94"/>
      <c r="H392" s="94"/>
      <c r="I392" s="94"/>
      <c r="J392" s="94"/>
      <c r="K392" s="94"/>
      <c r="L392" s="94"/>
      <c r="M392" s="94"/>
      <c r="N392" s="94"/>
      <c r="O392" s="94"/>
      <c r="P392" s="94"/>
      <c r="Q392" s="94"/>
      <c r="R392" s="94"/>
      <c r="S392" s="94"/>
      <c r="T392" s="94"/>
      <c r="U392" s="94"/>
      <c r="V392" s="94"/>
      <c r="W392" s="94"/>
      <c r="X392" s="94"/>
      <c r="Y392" s="94"/>
      <c r="Z392" s="94"/>
    </row>
    <row r="393">
      <c r="A393" s="1"/>
      <c r="C393" s="44"/>
      <c r="E393" s="44"/>
      <c r="F393" s="94"/>
      <c r="G393" s="94"/>
      <c r="H393" s="94"/>
      <c r="I393" s="94"/>
      <c r="J393" s="94"/>
      <c r="K393" s="94"/>
      <c r="L393" s="94"/>
      <c r="M393" s="94"/>
      <c r="N393" s="94"/>
      <c r="O393" s="94"/>
      <c r="P393" s="94"/>
      <c r="Q393" s="94"/>
      <c r="R393" s="94"/>
      <c r="S393" s="94"/>
      <c r="T393" s="94"/>
      <c r="U393" s="94"/>
      <c r="V393" s="94"/>
      <c r="W393" s="94"/>
      <c r="X393" s="94"/>
      <c r="Y393" s="94"/>
      <c r="Z393" s="94"/>
    </row>
    <row r="394">
      <c r="A394" s="1"/>
      <c r="C394" s="44"/>
      <c r="E394" s="44"/>
      <c r="F394" s="94"/>
      <c r="G394" s="94"/>
      <c r="H394" s="94"/>
      <c r="I394" s="94"/>
      <c r="J394" s="94"/>
      <c r="K394" s="94"/>
      <c r="L394" s="94"/>
      <c r="M394" s="94"/>
      <c r="N394" s="94"/>
      <c r="O394" s="94"/>
      <c r="P394" s="94"/>
      <c r="Q394" s="94"/>
      <c r="R394" s="94"/>
      <c r="S394" s="94"/>
      <c r="T394" s="94"/>
      <c r="U394" s="94"/>
      <c r="V394" s="94"/>
      <c r="W394" s="94"/>
      <c r="X394" s="94"/>
      <c r="Y394" s="94"/>
      <c r="Z394" s="94"/>
    </row>
    <row r="395">
      <c r="A395" s="1"/>
      <c r="C395" s="44"/>
      <c r="E395" s="44"/>
      <c r="F395" s="94"/>
      <c r="G395" s="94"/>
      <c r="H395" s="94"/>
      <c r="I395" s="94"/>
      <c r="J395" s="94"/>
      <c r="K395" s="94"/>
      <c r="L395" s="94"/>
      <c r="M395" s="94"/>
      <c r="N395" s="94"/>
      <c r="O395" s="94"/>
      <c r="P395" s="94"/>
      <c r="Q395" s="94"/>
      <c r="R395" s="94"/>
      <c r="S395" s="94"/>
      <c r="T395" s="94"/>
      <c r="U395" s="94"/>
      <c r="V395" s="94"/>
      <c r="W395" s="94"/>
      <c r="X395" s="94"/>
      <c r="Y395" s="94"/>
      <c r="Z395" s="94"/>
    </row>
    <row r="396">
      <c r="A396" s="1"/>
      <c r="C396" s="44"/>
      <c r="E396" s="44"/>
      <c r="F396" s="94"/>
      <c r="G396" s="94"/>
      <c r="H396" s="94"/>
      <c r="I396" s="94"/>
      <c r="J396" s="94"/>
      <c r="K396" s="94"/>
      <c r="L396" s="94"/>
      <c r="M396" s="94"/>
      <c r="N396" s="94"/>
      <c r="O396" s="94"/>
      <c r="P396" s="94"/>
      <c r="Q396" s="94"/>
      <c r="R396" s="94"/>
      <c r="S396" s="94"/>
      <c r="T396" s="94"/>
      <c r="U396" s="94"/>
      <c r="V396" s="94"/>
      <c r="W396" s="94"/>
      <c r="X396" s="94"/>
      <c r="Y396" s="94"/>
      <c r="Z396" s="94"/>
    </row>
    <row r="397">
      <c r="A397" s="1"/>
      <c r="C397" s="44"/>
      <c r="E397" s="44"/>
      <c r="F397" s="94"/>
      <c r="G397" s="94"/>
      <c r="H397" s="94"/>
      <c r="I397" s="94"/>
      <c r="J397" s="94"/>
      <c r="K397" s="94"/>
      <c r="L397" s="94"/>
      <c r="M397" s="94"/>
      <c r="N397" s="94"/>
      <c r="O397" s="94"/>
      <c r="P397" s="94"/>
      <c r="Q397" s="94"/>
      <c r="R397" s="94"/>
      <c r="S397" s="94"/>
      <c r="T397" s="94"/>
      <c r="U397" s="94"/>
      <c r="V397" s="94"/>
      <c r="W397" s="94"/>
      <c r="X397" s="94"/>
      <c r="Y397" s="94"/>
      <c r="Z397" s="94"/>
    </row>
    <row r="398">
      <c r="A398" s="1"/>
      <c r="C398" s="44"/>
      <c r="E398" s="44"/>
      <c r="F398" s="94"/>
      <c r="G398" s="94"/>
      <c r="H398" s="94"/>
      <c r="I398" s="94"/>
      <c r="J398" s="94"/>
      <c r="K398" s="94"/>
      <c r="L398" s="94"/>
      <c r="M398" s="94"/>
      <c r="N398" s="94"/>
      <c r="O398" s="94"/>
      <c r="P398" s="94"/>
      <c r="Q398" s="94"/>
      <c r="R398" s="94"/>
      <c r="S398" s="94"/>
      <c r="T398" s="94"/>
      <c r="U398" s="94"/>
      <c r="V398" s="94"/>
      <c r="W398" s="94"/>
      <c r="X398" s="94"/>
      <c r="Y398" s="94"/>
      <c r="Z398" s="94"/>
    </row>
    <row r="399">
      <c r="A399" s="1"/>
      <c r="C399" s="44"/>
      <c r="E399" s="44"/>
      <c r="F399" s="94"/>
      <c r="G399" s="94"/>
      <c r="H399" s="94"/>
      <c r="I399" s="94"/>
      <c r="J399" s="94"/>
      <c r="K399" s="94"/>
      <c r="L399" s="94"/>
      <c r="M399" s="94"/>
      <c r="N399" s="94"/>
      <c r="O399" s="94"/>
      <c r="P399" s="94"/>
      <c r="Q399" s="94"/>
      <c r="R399" s="94"/>
      <c r="S399" s="94"/>
      <c r="T399" s="94"/>
      <c r="U399" s="94"/>
      <c r="V399" s="94"/>
      <c r="W399" s="94"/>
      <c r="X399" s="94"/>
      <c r="Y399" s="94"/>
      <c r="Z399" s="94"/>
    </row>
    <row r="400">
      <c r="A400" s="1"/>
      <c r="C400" s="44"/>
      <c r="E400" s="44"/>
      <c r="F400" s="94"/>
      <c r="G400" s="94"/>
      <c r="H400" s="94"/>
      <c r="I400" s="94"/>
      <c r="J400" s="94"/>
      <c r="K400" s="94"/>
      <c r="L400" s="94"/>
      <c r="M400" s="94"/>
      <c r="N400" s="94"/>
      <c r="O400" s="94"/>
      <c r="P400" s="94"/>
      <c r="Q400" s="94"/>
      <c r="R400" s="94"/>
      <c r="S400" s="94"/>
      <c r="T400" s="94"/>
      <c r="U400" s="94"/>
      <c r="V400" s="94"/>
      <c r="W400" s="94"/>
      <c r="X400" s="94"/>
      <c r="Y400" s="94"/>
      <c r="Z400" s="94"/>
    </row>
    <row r="401">
      <c r="A401" s="1"/>
      <c r="C401" s="44"/>
      <c r="E401" s="44"/>
      <c r="F401" s="94"/>
      <c r="G401" s="94"/>
      <c r="H401" s="94"/>
      <c r="I401" s="94"/>
      <c r="J401" s="94"/>
      <c r="K401" s="94"/>
      <c r="L401" s="94"/>
      <c r="M401" s="94"/>
      <c r="N401" s="94"/>
      <c r="O401" s="94"/>
      <c r="P401" s="94"/>
      <c r="Q401" s="94"/>
      <c r="R401" s="94"/>
      <c r="S401" s="94"/>
      <c r="T401" s="94"/>
      <c r="U401" s="94"/>
      <c r="V401" s="94"/>
      <c r="W401" s="94"/>
      <c r="X401" s="94"/>
      <c r="Y401" s="94"/>
      <c r="Z401" s="94"/>
    </row>
    <row r="402">
      <c r="A402" s="1"/>
      <c r="C402" s="44"/>
      <c r="E402" s="44"/>
      <c r="F402" s="94"/>
      <c r="G402" s="94"/>
      <c r="H402" s="94"/>
      <c r="I402" s="94"/>
      <c r="J402" s="94"/>
      <c r="K402" s="94"/>
      <c r="L402" s="94"/>
      <c r="M402" s="94"/>
      <c r="N402" s="94"/>
      <c r="O402" s="94"/>
      <c r="P402" s="94"/>
      <c r="Q402" s="94"/>
      <c r="R402" s="94"/>
      <c r="S402" s="94"/>
      <c r="T402" s="94"/>
      <c r="U402" s="94"/>
      <c r="V402" s="94"/>
      <c r="W402" s="94"/>
      <c r="X402" s="94"/>
      <c r="Y402" s="94"/>
      <c r="Z402" s="94"/>
    </row>
    <row r="403">
      <c r="A403" s="1"/>
      <c r="C403" s="44"/>
      <c r="E403" s="44"/>
      <c r="F403" s="94"/>
      <c r="G403" s="94"/>
      <c r="H403" s="94"/>
      <c r="I403" s="94"/>
      <c r="J403" s="94"/>
      <c r="K403" s="94"/>
      <c r="L403" s="94"/>
      <c r="M403" s="94"/>
      <c r="N403" s="94"/>
      <c r="O403" s="94"/>
      <c r="P403" s="94"/>
      <c r="Q403" s="94"/>
      <c r="R403" s="94"/>
      <c r="S403" s="94"/>
      <c r="T403" s="94"/>
      <c r="U403" s="94"/>
      <c r="V403" s="94"/>
      <c r="W403" s="94"/>
      <c r="X403" s="94"/>
      <c r="Y403" s="94"/>
      <c r="Z403" s="94"/>
    </row>
    <row r="404">
      <c r="A404" s="1"/>
      <c r="C404" s="44"/>
      <c r="E404" s="44"/>
      <c r="F404" s="94"/>
      <c r="G404" s="94"/>
      <c r="H404" s="94"/>
      <c r="I404" s="94"/>
      <c r="J404" s="94"/>
      <c r="K404" s="94"/>
      <c r="L404" s="94"/>
      <c r="M404" s="94"/>
      <c r="N404" s="94"/>
      <c r="O404" s="94"/>
      <c r="P404" s="94"/>
      <c r="Q404" s="94"/>
      <c r="R404" s="94"/>
      <c r="S404" s="94"/>
      <c r="T404" s="94"/>
      <c r="U404" s="94"/>
      <c r="V404" s="94"/>
      <c r="W404" s="94"/>
      <c r="X404" s="94"/>
      <c r="Y404" s="94"/>
      <c r="Z404" s="94"/>
    </row>
    <row r="405">
      <c r="A405" s="1"/>
      <c r="C405" s="44"/>
      <c r="E405" s="44"/>
      <c r="F405" s="94"/>
      <c r="G405" s="94"/>
      <c r="H405" s="94"/>
      <c r="I405" s="94"/>
      <c r="J405" s="94"/>
      <c r="K405" s="94"/>
      <c r="L405" s="94"/>
      <c r="M405" s="94"/>
      <c r="N405" s="94"/>
      <c r="O405" s="94"/>
      <c r="P405" s="94"/>
      <c r="Q405" s="94"/>
      <c r="R405" s="94"/>
      <c r="S405" s="94"/>
      <c r="T405" s="94"/>
      <c r="U405" s="94"/>
      <c r="V405" s="94"/>
      <c r="W405" s="94"/>
      <c r="X405" s="94"/>
      <c r="Y405" s="94"/>
      <c r="Z405" s="94"/>
    </row>
    <row r="406">
      <c r="A406" s="1"/>
      <c r="C406" s="44"/>
      <c r="E406" s="44"/>
      <c r="F406" s="94"/>
      <c r="G406" s="94"/>
      <c r="H406" s="94"/>
      <c r="I406" s="94"/>
      <c r="J406" s="94"/>
      <c r="K406" s="94"/>
      <c r="L406" s="94"/>
      <c r="M406" s="94"/>
      <c r="N406" s="94"/>
      <c r="O406" s="94"/>
      <c r="P406" s="94"/>
      <c r="Q406" s="94"/>
      <c r="R406" s="94"/>
      <c r="S406" s="94"/>
      <c r="T406" s="94"/>
      <c r="U406" s="94"/>
      <c r="V406" s="94"/>
      <c r="W406" s="94"/>
      <c r="X406" s="94"/>
      <c r="Y406" s="94"/>
      <c r="Z406" s="94"/>
    </row>
    <row r="407">
      <c r="A407" s="1"/>
      <c r="C407" s="44"/>
      <c r="E407" s="44"/>
      <c r="F407" s="94"/>
      <c r="G407" s="94"/>
      <c r="H407" s="94"/>
      <c r="I407" s="94"/>
      <c r="J407" s="94"/>
      <c r="K407" s="94"/>
      <c r="L407" s="94"/>
      <c r="M407" s="94"/>
      <c r="N407" s="94"/>
      <c r="O407" s="94"/>
      <c r="P407" s="94"/>
      <c r="Q407" s="94"/>
      <c r="R407" s="94"/>
      <c r="S407" s="94"/>
      <c r="T407" s="94"/>
      <c r="U407" s="94"/>
      <c r="V407" s="94"/>
      <c r="W407" s="94"/>
      <c r="X407" s="94"/>
      <c r="Y407" s="94"/>
      <c r="Z407" s="94"/>
    </row>
    <row r="408">
      <c r="A408" s="1"/>
      <c r="C408" s="44"/>
      <c r="E408" s="44"/>
      <c r="F408" s="94"/>
      <c r="G408" s="94"/>
      <c r="H408" s="94"/>
      <c r="I408" s="94"/>
      <c r="J408" s="94"/>
      <c r="K408" s="94"/>
      <c r="L408" s="94"/>
      <c r="M408" s="94"/>
      <c r="N408" s="94"/>
      <c r="O408" s="94"/>
      <c r="P408" s="94"/>
      <c r="Q408" s="94"/>
      <c r="R408" s="94"/>
      <c r="S408" s="94"/>
      <c r="T408" s="94"/>
      <c r="U408" s="94"/>
      <c r="V408" s="94"/>
      <c r="W408" s="94"/>
      <c r="X408" s="94"/>
      <c r="Y408" s="94"/>
      <c r="Z408" s="94"/>
    </row>
    <row r="409">
      <c r="A409" s="1"/>
      <c r="C409" s="44"/>
      <c r="E409" s="44"/>
      <c r="F409" s="94"/>
      <c r="G409" s="94"/>
      <c r="H409" s="94"/>
      <c r="I409" s="94"/>
      <c r="J409" s="94"/>
      <c r="K409" s="94"/>
      <c r="L409" s="94"/>
      <c r="M409" s="94"/>
      <c r="N409" s="94"/>
      <c r="O409" s="94"/>
      <c r="P409" s="94"/>
      <c r="Q409" s="94"/>
      <c r="R409" s="94"/>
      <c r="S409" s="94"/>
      <c r="T409" s="94"/>
      <c r="U409" s="94"/>
      <c r="V409" s="94"/>
      <c r="W409" s="94"/>
      <c r="X409" s="94"/>
      <c r="Y409" s="94"/>
      <c r="Z409" s="94"/>
    </row>
    <row r="410">
      <c r="A410" s="1"/>
      <c r="C410" s="44"/>
      <c r="E410" s="44"/>
      <c r="F410" s="94"/>
      <c r="G410" s="94"/>
      <c r="H410" s="94"/>
      <c r="I410" s="94"/>
      <c r="J410" s="94"/>
      <c r="K410" s="94"/>
      <c r="L410" s="94"/>
      <c r="M410" s="94"/>
      <c r="N410" s="94"/>
      <c r="O410" s="94"/>
      <c r="P410" s="94"/>
      <c r="Q410" s="94"/>
      <c r="R410" s="94"/>
      <c r="S410" s="94"/>
      <c r="T410" s="94"/>
      <c r="U410" s="94"/>
      <c r="V410" s="94"/>
      <c r="W410" s="94"/>
      <c r="X410" s="94"/>
      <c r="Y410" s="94"/>
      <c r="Z410" s="94"/>
    </row>
    <row r="411">
      <c r="A411" s="1"/>
      <c r="C411" s="44"/>
      <c r="E411" s="44"/>
      <c r="F411" s="94"/>
      <c r="G411" s="94"/>
      <c r="H411" s="94"/>
      <c r="I411" s="94"/>
      <c r="J411" s="94"/>
      <c r="K411" s="94"/>
      <c r="L411" s="94"/>
      <c r="M411" s="94"/>
      <c r="N411" s="94"/>
      <c r="O411" s="94"/>
      <c r="P411" s="94"/>
      <c r="Q411" s="94"/>
      <c r="R411" s="94"/>
      <c r="S411" s="94"/>
      <c r="T411" s="94"/>
      <c r="U411" s="94"/>
      <c r="V411" s="94"/>
      <c r="W411" s="94"/>
      <c r="X411" s="94"/>
      <c r="Y411" s="94"/>
      <c r="Z411" s="94"/>
    </row>
    <row r="412">
      <c r="A412" s="1"/>
      <c r="C412" s="44"/>
      <c r="E412" s="44"/>
      <c r="F412" s="94"/>
      <c r="G412" s="94"/>
      <c r="H412" s="94"/>
      <c r="I412" s="94"/>
      <c r="J412" s="94"/>
      <c r="K412" s="94"/>
      <c r="L412" s="94"/>
      <c r="M412" s="94"/>
      <c r="N412" s="94"/>
      <c r="O412" s="94"/>
      <c r="P412" s="94"/>
      <c r="Q412" s="94"/>
      <c r="R412" s="94"/>
      <c r="S412" s="94"/>
      <c r="T412" s="94"/>
      <c r="U412" s="94"/>
      <c r="V412" s="94"/>
      <c r="W412" s="94"/>
      <c r="X412" s="94"/>
      <c r="Y412" s="94"/>
      <c r="Z412" s="94"/>
    </row>
    <row r="413">
      <c r="A413" s="1"/>
      <c r="C413" s="44"/>
      <c r="E413" s="44"/>
      <c r="F413" s="94"/>
      <c r="G413" s="94"/>
      <c r="H413" s="94"/>
      <c r="I413" s="94"/>
      <c r="J413" s="94"/>
      <c r="K413" s="94"/>
      <c r="L413" s="94"/>
      <c r="M413" s="94"/>
      <c r="N413" s="94"/>
      <c r="O413" s="94"/>
      <c r="P413" s="94"/>
      <c r="Q413" s="94"/>
      <c r="R413" s="94"/>
      <c r="S413" s="94"/>
      <c r="T413" s="94"/>
      <c r="U413" s="94"/>
      <c r="V413" s="94"/>
      <c r="W413" s="94"/>
      <c r="X413" s="94"/>
      <c r="Y413" s="94"/>
      <c r="Z413" s="94"/>
    </row>
    <row r="414">
      <c r="A414" s="1"/>
      <c r="C414" s="44"/>
      <c r="E414" s="44"/>
      <c r="F414" s="94"/>
      <c r="G414" s="94"/>
      <c r="H414" s="94"/>
      <c r="I414" s="94"/>
      <c r="J414" s="94"/>
      <c r="K414" s="94"/>
      <c r="L414" s="94"/>
      <c r="M414" s="94"/>
      <c r="N414" s="94"/>
      <c r="O414" s="94"/>
      <c r="P414" s="94"/>
      <c r="Q414" s="94"/>
      <c r="R414" s="94"/>
      <c r="S414" s="94"/>
      <c r="T414" s="94"/>
      <c r="U414" s="94"/>
      <c r="V414" s="94"/>
      <c r="W414" s="94"/>
      <c r="X414" s="94"/>
      <c r="Y414" s="94"/>
      <c r="Z414" s="94"/>
    </row>
    <row r="415">
      <c r="A415" s="1"/>
      <c r="C415" s="44"/>
      <c r="E415" s="44"/>
      <c r="F415" s="94"/>
      <c r="G415" s="94"/>
      <c r="H415" s="94"/>
      <c r="I415" s="94"/>
      <c r="J415" s="94"/>
      <c r="K415" s="94"/>
      <c r="L415" s="94"/>
      <c r="M415" s="94"/>
      <c r="N415" s="94"/>
      <c r="O415" s="94"/>
      <c r="P415" s="94"/>
      <c r="Q415" s="94"/>
      <c r="R415" s="94"/>
      <c r="S415" s="94"/>
      <c r="T415" s="94"/>
      <c r="U415" s="94"/>
      <c r="V415" s="94"/>
      <c r="W415" s="94"/>
      <c r="X415" s="94"/>
      <c r="Y415" s="94"/>
      <c r="Z415" s="94"/>
    </row>
    <row r="416">
      <c r="A416" s="1"/>
      <c r="C416" s="44"/>
      <c r="E416" s="44"/>
      <c r="F416" s="94"/>
      <c r="G416" s="94"/>
      <c r="H416" s="94"/>
      <c r="I416" s="94"/>
      <c r="J416" s="94"/>
      <c r="K416" s="94"/>
      <c r="L416" s="94"/>
      <c r="M416" s="94"/>
      <c r="N416" s="94"/>
      <c r="O416" s="94"/>
      <c r="P416" s="94"/>
      <c r="Q416" s="94"/>
      <c r="R416" s="94"/>
      <c r="S416" s="94"/>
      <c r="T416" s="94"/>
      <c r="U416" s="94"/>
      <c r="V416" s="94"/>
      <c r="W416" s="94"/>
      <c r="X416" s="94"/>
      <c r="Y416" s="94"/>
      <c r="Z416" s="94"/>
    </row>
    <row r="417">
      <c r="A417" s="1"/>
      <c r="C417" s="44"/>
      <c r="E417" s="44"/>
      <c r="F417" s="94"/>
      <c r="G417" s="94"/>
      <c r="H417" s="94"/>
      <c r="I417" s="94"/>
      <c r="J417" s="94"/>
      <c r="K417" s="94"/>
      <c r="L417" s="94"/>
      <c r="M417" s="94"/>
      <c r="N417" s="94"/>
      <c r="O417" s="94"/>
      <c r="P417" s="94"/>
      <c r="Q417" s="94"/>
      <c r="R417" s="94"/>
      <c r="S417" s="94"/>
      <c r="T417" s="94"/>
      <c r="U417" s="94"/>
      <c r="V417" s="94"/>
      <c r="W417" s="94"/>
      <c r="X417" s="94"/>
      <c r="Y417" s="94"/>
      <c r="Z417" s="94"/>
    </row>
    <row r="418">
      <c r="A418" s="1"/>
      <c r="C418" s="44"/>
      <c r="E418" s="44"/>
      <c r="F418" s="94"/>
      <c r="G418" s="94"/>
      <c r="H418" s="94"/>
      <c r="I418" s="94"/>
      <c r="J418" s="94"/>
      <c r="K418" s="94"/>
      <c r="L418" s="94"/>
      <c r="M418" s="94"/>
      <c r="N418" s="94"/>
      <c r="O418" s="94"/>
      <c r="P418" s="94"/>
      <c r="Q418" s="94"/>
      <c r="R418" s="94"/>
      <c r="S418" s="94"/>
      <c r="T418" s="94"/>
      <c r="U418" s="94"/>
      <c r="V418" s="94"/>
      <c r="W418" s="94"/>
      <c r="X418" s="94"/>
      <c r="Y418" s="94"/>
      <c r="Z418" s="94"/>
    </row>
    <row r="419">
      <c r="A419" s="1"/>
      <c r="C419" s="44"/>
      <c r="E419" s="44"/>
      <c r="F419" s="94"/>
      <c r="G419" s="94"/>
      <c r="H419" s="94"/>
      <c r="I419" s="94"/>
      <c r="J419" s="94"/>
      <c r="K419" s="94"/>
      <c r="L419" s="94"/>
      <c r="M419" s="94"/>
      <c r="N419" s="94"/>
      <c r="O419" s="94"/>
      <c r="P419" s="94"/>
      <c r="Q419" s="94"/>
      <c r="R419" s="94"/>
      <c r="S419" s="94"/>
      <c r="T419" s="94"/>
      <c r="U419" s="94"/>
      <c r="V419" s="94"/>
      <c r="W419" s="94"/>
      <c r="X419" s="94"/>
      <c r="Y419" s="94"/>
      <c r="Z419" s="94"/>
    </row>
    <row r="420">
      <c r="A420" s="1"/>
      <c r="C420" s="44"/>
      <c r="E420" s="44"/>
      <c r="F420" s="94"/>
      <c r="G420" s="94"/>
      <c r="H420" s="94"/>
      <c r="I420" s="94"/>
      <c r="J420" s="94"/>
      <c r="K420" s="94"/>
      <c r="L420" s="94"/>
      <c r="M420" s="94"/>
      <c r="N420" s="94"/>
      <c r="O420" s="94"/>
      <c r="P420" s="94"/>
      <c r="Q420" s="94"/>
      <c r="R420" s="94"/>
      <c r="S420" s="94"/>
      <c r="T420" s="94"/>
      <c r="U420" s="94"/>
      <c r="V420" s="94"/>
      <c r="W420" s="94"/>
      <c r="X420" s="94"/>
      <c r="Y420" s="94"/>
      <c r="Z420" s="94"/>
    </row>
    <row r="421">
      <c r="A421" s="1"/>
      <c r="C421" s="44"/>
      <c r="E421" s="44"/>
      <c r="F421" s="94"/>
      <c r="G421" s="94"/>
      <c r="H421" s="94"/>
      <c r="I421" s="94"/>
      <c r="J421" s="94"/>
      <c r="K421" s="94"/>
      <c r="L421" s="94"/>
      <c r="M421" s="94"/>
      <c r="N421" s="94"/>
      <c r="O421" s="94"/>
      <c r="P421" s="94"/>
      <c r="Q421" s="94"/>
      <c r="R421" s="94"/>
      <c r="S421" s="94"/>
      <c r="T421" s="94"/>
      <c r="U421" s="94"/>
      <c r="V421" s="94"/>
      <c r="W421" s="94"/>
      <c r="X421" s="94"/>
      <c r="Y421" s="94"/>
      <c r="Z421" s="94"/>
    </row>
    <row r="422">
      <c r="A422" s="1"/>
      <c r="C422" s="44"/>
      <c r="E422" s="44"/>
      <c r="F422" s="94"/>
      <c r="G422" s="94"/>
      <c r="H422" s="94"/>
      <c r="I422" s="94"/>
      <c r="J422" s="94"/>
      <c r="K422" s="94"/>
      <c r="L422" s="94"/>
      <c r="M422" s="94"/>
      <c r="N422" s="94"/>
      <c r="O422" s="94"/>
      <c r="P422" s="94"/>
      <c r="Q422" s="94"/>
      <c r="R422" s="94"/>
      <c r="S422" s="94"/>
      <c r="T422" s="94"/>
      <c r="U422" s="94"/>
      <c r="V422" s="94"/>
      <c r="W422" s="94"/>
      <c r="X422" s="94"/>
      <c r="Y422" s="94"/>
      <c r="Z422" s="94"/>
    </row>
    <row r="423">
      <c r="A423" s="1"/>
      <c r="C423" s="44"/>
      <c r="E423" s="44"/>
      <c r="F423" s="94"/>
      <c r="G423" s="94"/>
      <c r="H423" s="94"/>
      <c r="I423" s="94"/>
      <c r="J423" s="94"/>
      <c r="K423" s="94"/>
      <c r="L423" s="94"/>
      <c r="M423" s="94"/>
      <c r="N423" s="94"/>
      <c r="O423" s="94"/>
      <c r="P423" s="94"/>
      <c r="Q423" s="94"/>
      <c r="R423" s="94"/>
      <c r="S423" s="94"/>
      <c r="T423" s="94"/>
      <c r="U423" s="94"/>
      <c r="V423" s="94"/>
      <c r="W423" s="94"/>
      <c r="X423" s="94"/>
      <c r="Y423" s="94"/>
      <c r="Z423" s="94"/>
    </row>
    <row r="424">
      <c r="A424" s="1"/>
      <c r="C424" s="44"/>
      <c r="E424" s="44"/>
      <c r="F424" s="94"/>
      <c r="G424" s="94"/>
      <c r="H424" s="94"/>
      <c r="I424" s="94"/>
      <c r="J424" s="94"/>
      <c r="K424" s="94"/>
      <c r="L424" s="94"/>
      <c r="M424" s="94"/>
      <c r="N424" s="94"/>
      <c r="O424" s="94"/>
      <c r="P424" s="94"/>
      <c r="Q424" s="94"/>
      <c r="R424" s="94"/>
      <c r="S424" s="94"/>
      <c r="T424" s="94"/>
      <c r="U424" s="94"/>
      <c r="V424" s="94"/>
      <c r="W424" s="94"/>
      <c r="X424" s="94"/>
      <c r="Y424" s="94"/>
      <c r="Z424" s="94"/>
    </row>
    <row r="425">
      <c r="A425" s="1"/>
      <c r="C425" s="44"/>
      <c r="E425" s="44"/>
      <c r="F425" s="94"/>
      <c r="G425" s="94"/>
      <c r="H425" s="94"/>
      <c r="I425" s="94"/>
      <c r="J425" s="94"/>
      <c r="K425" s="94"/>
      <c r="L425" s="94"/>
      <c r="M425" s="94"/>
      <c r="N425" s="94"/>
      <c r="O425" s="94"/>
      <c r="P425" s="94"/>
      <c r="Q425" s="94"/>
      <c r="R425" s="94"/>
      <c r="S425" s="94"/>
      <c r="T425" s="94"/>
      <c r="U425" s="94"/>
      <c r="V425" s="94"/>
      <c r="W425" s="94"/>
      <c r="X425" s="94"/>
      <c r="Y425" s="94"/>
      <c r="Z425" s="94"/>
    </row>
    <row r="426">
      <c r="A426" s="1"/>
      <c r="C426" s="44"/>
      <c r="E426" s="44"/>
      <c r="F426" s="94"/>
      <c r="G426" s="94"/>
      <c r="H426" s="94"/>
      <c r="I426" s="94"/>
      <c r="J426" s="94"/>
      <c r="K426" s="94"/>
      <c r="L426" s="94"/>
      <c r="M426" s="94"/>
      <c r="N426" s="94"/>
      <c r="O426" s="94"/>
      <c r="P426" s="94"/>
      <c r="Q426" s="94"/>
      <c r="R426" s="94"/>
      <c r="S426" s="94"/>
      <c r="T426" s="94"/>
      <c r="U426" s="94"/>
      <c r="V426" s="94"/>
      <c r="W426" s="94"/>
      <c r="X426" s="94"/>
      <c r="Y426" s="94"/>
      <c r="Z426" s="94"/>
    </row>
    <row r="427">
      <c r="A427" s="1"/>
      <c r="C427" s="44"/>
      <c r="E427" s="44"/>
      <c r="F427" s="94"/>
      <c r="G427" s="94"/>
      <c r="H427" s="94"/>
      <c r="I427" s="94"/>
      <c r="J427" s="94"/>
      <c r="K427" s="94"/>
      <c r="L427" s="94"/>
      <c r="M427" s="94"/>
      <c r="N427" s="94"/>
      <c r="O427" s="94"/>
      <c r="P427" s="94"/>
      <c r="Q427" s="94"/>
      <c r="R427" s="94"/>
      <c r="S427" s="94"/>
      <c r="T427" s="94"/>
      <c r="U427" s="94"/>
      <c r="V427" s="94"/>
      <c r="W427" s="94"/>
      <c r="X427" s="94"/>
      <c r="Y427" s="94"/>
      <c r="Z427" s="94"/>
    </row>
    <row r="428">
      <c r="A428" s="1"/>
      <c r="C428" s="44"/>
      <c r="E428" s="44"/>
      <c r="F428" s="94"/>
      <c r="G428" s="94"/>
      <c r="H428" s="94"/>
      <c r="I428" s="94"/>
      <c r="J428" s="94"/>
      <c r="K428" s="94"/>
      <c r="L428" s="94"/>
      <c r="M428" s="94"/>
      <c r="N428" s="94"/>
      <c r="O428" s="94"/>
      <c r="P428" s="94"/>
      <c r="Q428" s="94"/>
      <c r="R428" s="94"/>
      <c r="S428" s="94"/>
      <c r="T428" s="94"/>
      <c r="U428" s="94"/>
      <c r="V428" s="94"/>
      <c r="W428" s="94"/>
      <c r="X428" s="94"/>
      <c r="Y428" s="94"/>
      <c r="Z428" s="94"/>
    </row>
    <row r="429">
      <c r="A429" s="1"/>
      <c r="C429" s="44"/>
      <c r="E429" s="44"/>
      <c r="F429" s="94"/>
      <c r="G429" s="94"/>
      <c r="H429" s="94"/>
      <c r="I429" s="94"/>
      <c r="J429" s="94"/>
      <c r="K429" s="94"/>
      <c r="L429" s="94"/>
      <c r="M429" s="94"/>
      <c r="N429" s="94"/>
      <c r="O429" s="94"/>
      <c r="P429" s="94"/>
      <c r="Q429" s="94"/>
      <c r="R429" s="94"/>
      <c r="S429" s="94"/>
      <c r="T429" s="94"/>
      <c r="U429" s="94"/>
      <c r="V429" s="94"/>
      <c r="W429" s="94"/>
      <c r="X429" s="94"/>
      <c r="Y429" s="94"/>
      <c r="Z429" s="94"/>
    </row>
    <row r="430">
      <c r="A430" s="1"/>
      <c r="C430" s="44"/>
      <c r="E430" s="44"/>
      <c r="F430" s="94"/>
      <c r="G430" s="94"/>
      <c r="H430" s="94"/>
      <c r="I430" s="94"/>
      <c r="J430" s="94"/>
      <c r="K430" s="94"/>
      <c r="L430" s="94"/>
      <c r="M430" s="94"/>
      <c r="N430" s="94"/>
      <c r="O430" s="94"/>
      <c r="P430" s="94"/>
      <c r="Q430" s="94"/>
      <c r="R430" s="94"/>
      <c r="S430" s="94"/>
      <c r="T430" s="94"/>
      <c r="U430" s="94"/>
      <c r="V430" s="94"/>
      <c r="W430" s="94"/>
      <c r="X430" s="94"/>
      <c r="Y430" s="94"/>
      <c r="Z430" s="94"/>
    </row>
    <row r="431">
      <c r="A431" s="1"/>
      <c r="C431" s="44"/>
      <c r="E431" s="44"/>
      <c r="F431" s="94"/>
      <c r="G431" s="94"/>
      <c r="H431" s="94"/>
      <c r="I431" s="94"/>
      <c r="J431" s="94"/>
      <c r="K431" s="94"/>
      <c r="L431" s="94"/>
      <c r="M431" s="94"/>
      <c r="N431" s="94"/>
      <c r="O431" s="94"/>
      <c r="P431" s="94"/>
      <c r="Q431" s="94"/>
      <c r="R431" s="94"/>
      <c r="S431" s="94"/>
      <c r="T431" s="94"/>
      <c r="U431" s="94"/>
      <c r="V431" s="94"/>
      <c r="W431" s="94"/>
      <c r="X431" s="94"/>
      <c r="Y431" s="94"/>
      <c r="Z431" s="94"/>
    </row>
    <row r="432">
      <c r="A432" s="1"/>
      <c r="C432" s="44"/>
      <c r="E432" s="44"/>
      <c r="F432" s="94"/>
      <c r="G432" s="94"/>
      <c r="H432" s="94"/>
      <c r="I432" s="94"/>
      <c r="J432" s="94"/>
      <c r="K432" s="94"/>
      <c r="L432" s="94"/>
      <c r="M432" s="94"/>
      <c r="N432" s="94"/>
      <c r="O432" s="94"/>
      <c r="P432" s="94"/>
      <c r="Q432" s="94"/>
      <c r="R432" s="94"/>
      <c r="S432" s="94"/>
      <c r="T432" s="94"/>
      <c r="U432" s="94"/>
      <c r="V432" s="94"/>
      <c r="W432" s="94"/>
      <c r="X432" s="94"/>
      <c r="Y432" s="94"/>
      <c r="Z432" s="94"/>
    </row>
    <row r="433">
      <c r="A433" s="1"/>
      <c r="C433" s="44"/>
      <c r="E433" s="44"/>
      <c r="F433" s="94"/>
      <c r="G433" s="94"/>
      <c r="H433" s="94"/>
      <c r="I433" s="94"/>
      <c r="J433" s="94"/>
      <c r="K433" s="94"/>
      <c r="L433" s="94"/>
      <c r="M433" s="94"/>
      <c r="N433" s="94"/>
      <c r="O433" s="94"/>
      <c r="P433" s="94"/>
      <c r="Q433" s="94"/>
      <c r="R433" s="94"/>
      <c r="S433" s="94"/>
      <c r="T433" s="94"/>
      <c r="U433" s="94"/>
      <c r="V433" s="94"/>
      <c r="W433" s="94"/>
      <c r="X433" s="94"/>
      <c r="Y433" s="94"/>
      <c r="Z433" s="94"/>
    </row>
    <row r="434">
      <c r="A434" s="1"/>
      <c r="C434" s="44"/>
      <c r="E434" s="44"/>
      <c r="F434" s="94"/>
      <c r="G434" s="94"/>
      <c r="H434" s="94"/>
      <c r="I434" s="94"/>
      <c r="J434" s="94"/>
      <c r="K434" s="94"/>
      <c r="L434" s="94"/>
      <c r="M434" s="94"/>
      <c r="N434" s="94"/>
      <c r="O434" s="94"/>
      <c r="P434" s="94"/>
      <c r="Q434" s="94"/>
      <c r="R434" s="94"/>
      <c r="S434" s="94"/>
      <c r="T434" s="94"/>
      <c r="U434" s="94"/>
      <c r="V434" s="94"/>
      <c r="W434" s="94"/>
      <c r="X434" s="94"/>
      <c r="Y434" s="94"/>
      <c r="Z434" s="94"/>
    </row>
    <row r="435">
      <c r="A435" s="1"/>
      <c r="C435" s="44"/>
      <c r="E435" s="44"/>
      <c r="F435" s="94"/>
      <c r="G435" s="94"/>
      <c r="H435" s="94"/>
      <c r="I435" s="94"/>
      <c r="J435" s="94"/>
      <c r="K435" s="94"/>
      <c r="L435" s="94"/>
      <c r="M435" s="94"/>
      <c r="N435" s="94"/>
      <c r="O435" s="94"/>
      <c r="P435" s="94"/>
      <c r="Q435" s="94"/>
      <c r="R435" s="94"/>
      <c r="S435" s="94"/>
      <c r="T435" s="94"/>
      <c r="U435" s="94"/>
      <c r="V435" s="94"/>
      <c r="W435" s="94"/>
      <c r="X435" s="94"/>
      <c r="Y435" s="94"/>
      <c r="Z435" s="94"/>
    </row>
    <row r="436">
      <c r="A436" s="1"/>
      <c r="C436" s="44"/>
      <c r="E436" s="44"/>
      <c r="F436" s="94"/>
      <c r="G436" s="94"/>
      <c r="H436" s="94"/>
      <c r="I436" s="94"/>
      <c r="J436" s="94"/>
      <c r="K436" s="94"/>
      <c r="L436" s="94"/>
      <c r="M436" s="94"/>
      <c r="N436" s="94"/>
      <c r="O436" s="94"/>
      <c r="P436" s="94"/>
      <c r="Q436" s="94"/>
      <c r="R436" s="94"/>
      <c r="S436" s="94"/>
      <c r="T436" s="94"/>
      <c r="U436" s="94"/>
      <c r="V436" s="94"/>
      <c r="W436" s="94"/>
      <c r="X436" s="94"/>
      <c r="Y436" s="94"/>
      <c r="Z436" s="94"/>
    </row>
    <row r="437">
      <c r="A437" s="1"/>
      <c r="C437" s="44"/>
      <c r="E437" s="44"/>
      <c r="F437" s="94"/>
      <c r="G437" s="94"/>
      <c r="H437" s="94"/>
      <c r="I437" s="94"/>
      <c r="J437" s="94"/>
      <c r="K437" s="94"/>
      <c r="L437" s="94"/>
      <c r="M437" s="94"/>
      <c r="N437" s="94"/>
      <c r="O437" s="94"/>
      <c r="P437" s="94"/>
      <c r="Q437" s="94"/>
      <c r="R437" s="94"/>
      <c r="S437" s="94"/>
      <c r="T437" s="94"/>
      <c r="U437" s="94"/>
      <c r="V437" s="94"/>
      <c r="W437" s="94"/>
      <c r="X437" s="94"/>
      <c r="Y437" s="94"/>
      <c r="Z437" s="94"/>
    </row>
    <row r="438">
      <c r="A438" s="1"/>
      <c r="C438" s="44"/>
      <c r="E438" s="44"/>
      <c r="F438" s="94"/>
      <c r="G438" s="94"/>
      <c r="H438" s="94"/>
      <c r="I438" s="94"/>
      <c r="J438" s="94"/>
      <c r="K438" s="94"/>
      <c r="L438" s="94"/>
      <c r="M438" s="94"/>
      <c r="N438" s="94"/>
      <c r="O438" s="94"/>
      <c r="P438" s="94"/>
      <c r="Q438" s="94"/>
      <c r="R438" s="94"/>
      <c r="S438" s="94"/>
      <c r="T438" s="94"/>
      <c r="U438" s="94"/>
      <c r="V438" s="94"/>
      <c r="W438" s="94"/>
      <c r="X438" s="94"/>
      <c r="Y438" s="94"/>
      <c r="Z438" s="94"/>
    </row>
    <row r="439">
      <c r="A439" s="1"/>
      <c r="C439" s="44"/>
      <c r="E439" s="44"/>
      <c r="F439" s="94"/>
      <c r="G439" s="94"/>
      <c r="H439" s="94"/>
      <c r="I439" s="94"/>
      <c r="J439" s="94"/>
      <c r="K439" s="94"/>
      <c r="L439" s="94"/>
      <c r="M439" s="94"/>
      <c r="N439" s="94"/>
      <c r="O439" s="94"/>
      <c r="P439" s="94"/>
      <c r="Q439" s="94"/>
      <c r="R439" s="94"/>
      <c r="S439" s="94"/>
      <c r="T439" s="94"/>
      <c r="U439" s="94"/>
      <c r="V439" s="94"/>
      <c r="W439" s="94"/>
      <c r="X439" s="94"/>
      <c r="Y439" s="94"/>
      <c r="Z439" s="94"/>
    </row>
    <row r="440">
      <c r="A440" s="1"/>
      <c r="C440" s="44"/>
      <c r="E440" s="44"/>
      <c r="F440" s="94"/>
      <c r="G440" s="94"/>
      <c r="H440" s="94"/>
      <c r="I440" s="94"/>
      <c r="J440" s="94"/>
      <c r="K440" s="94"/>
      <c r="L440" s="94"/>
      <c r="M440" s="94"/>
      <c r="N440" s="94"/>
      <c r="O440" s="94"/>
      <c r="P440" s="94"/>
      <c r="Q440" s="94"/>
      <c r="R440" s="94"/>
      <c r="S440" s="94"/>
      <c r="T440" s="94"/>
      <c r="U440" s="94"/>
      <c r="V440" s="94"/>
      <c r="W440" s="94"/>
      <c r="X440" s="94"/>
      <c r="Y440" s="94"/>
      <c r="Z440" s="94"/>
    </row>
    <row r="441">
      <c r="A441" s="1"/>
      <c r="C441" s="44"/>
      <c r="E441" s="44"/>
      <c r="F441" s="94"/>
      <c r="G441" s="94"/>
      <c r="H441" s="94"/>
      <c r="I441" s="94"/>
      <c r="J441" s="94"/>
      <c r="K441" s="94"/>
      <c r="L441" s="94"/>
      <c r="M441" s="94"/>
      <c r="N441" s="94"/>
      <c r="O441" s="94"/>
      <c r="P441" s="94"/>
      <c r="Q441" s="94"/>
      <c r="R441" s="94"/>
      <c r="S441" s="94"/>
      <c r="T441" s="94"/>
      <c r="U441" s="94"/>
      <c r="V441" s="94"/>
      <c r="W441" s="94"/>
      <c r="X441" s="94"/>
      <c r="Y441" s="94"/>
      <c r="Z441" s="94"/>
    </row>
    <row r="442">
      <c r="A442" s="1"/>
      <c r="C442" s="44"/>
      <c r="E442" s="44"/>
      <c r="F442" s="94"/>
      <c r="G442" s="94"/>
      <c r="H442" s="94"/>
      <c r="I442" s="94"/>
      <c r="J442" s="94"/>
      <c r="K442" s="94"/>
      <c r="L442" s="94"/>
      <c r="M442" s="94"/>
      <c r="N442" s="94"/>
      <c r="O442" s="94"/>
      <c r="P442" s="94"/>
      <c r="Q442" s="94"/>
      <c r="R442" s="94"/>
      <c r="S442" s="94"/>
      <c r="T442" s="94"/>
      <c r="U442" s="94"/>
      <c r="V442" s="94"/>
      <c r="W442" s="94"/>
      <c r="X442" s="94"/>
      <c r="Y442" s="94"/>
      <c r="Z442" s="94"/>
    </row>
    <row r="443">
      <c r="A443" s="1"/>
      <c r="C443" s="44"/>
      <c r="E443" s="44"/>
      <c r="F443" s="94"/>
      <c r="G443" s="94"/>
      <c r="H443" s="94"/>
      <c r="I443" s="94"/>
      <c r="J443" s="94"/>
      <c r="K443" s="94"/>
      <c r="L443" s="94"/>
      <c r="M443" s="94"/>
      <c r="N443" s="94"/>
      <c r="O443" s="94"/>
      <c r="P443" s="94"/>
      <c r="Q443" s="94"/>
      <c r="R443" s="94"/>
      <c r="S443" s="94"/>
      <c r="T443" s="94"/>
      <c r="U443" s="94"/>
      <c r="V443" s="94"/>
      <c r="W443" s="94"/>
      <c r="X443" s="94"/>
      <c r="Y443" s="94"/>
      <c r="Z443" s="94"/>
    </row>
    <row r="444">
      <c r="A444" s="1"/>
      <c r="C444" s="44"/>
      <c r="E444" s="44"/>
      <c r="F444" s="94"/>
      <c r="G444" s="94"/>
      <c r="H444" s="94"/>
      <c r="I444" s="94"/>
      <c r="J444" s="94"/>
      <c r="K444" s="94"/>
      <c r="L444" s="94"/>
      <c r="M444" s="94"/>
      <c r="N444" s="94"/>
      <c r="O444" s="94"/>
      <c r="P444" s="94"/>
      <c r="Q444" s="94"/>
      <c r="R444" s="94"/>
      <c r="S444" s="94"/>
      <c r="T444" s="94"/>
      <c r="U444" s="94"/>
      <c r="V444" s="94"/>
      <c r="W444" s="94"/>
      <c r="X444" s="94"/>
      <c r="Y444" s="94"/>
      <c r="Z444" s="94"/>
    </row>
    <row r="445">
      <c r="A445" s="1"/>
      <c r="C445" s="44"/>
      <c r="E445" s="44"/>
      <c r="F445" s="94"/>
      <c r="G445" s="94"/>
      <c r="H445" s="94"/>
      <c r="I445" s="94"/>
      <c r="J445" s="94"/>
      <c r="K445" s="94"/>
      <c r="L445" s="94"/>
      <c r="M445" s="94"/>
      <c r="N445" s="94"/>
      <c r="O445" s="94"/>
      <c r="P445" s="94"/>
      <c r="Q445" s="94"/>
      <c r="R445" s="94"/>
      <c r="S445" s="94"/>
      <c r="T445" s="94"/>
      <c r="U445" s="94"/>
      <c r="V445" s="94"/>
      <c r="W445" s="94"/>
      <c r="X445" s="94"/>
      <c r="Y445" s="94"/>
      <c r="Z445" s="94"/>
    </row>
    <row r="446">
      <c r="A446" s="1"/>
      <c r="C446" s="44"/>
      <c r="E446" s="44"/>
      <c r="F446" s="94"/>
      <c r="G446" s="94"/>
      <c r="H446" s="94"/>
      <c r="I446" s="94"/>
      <c r="J446" s="94"/>
      <c r="K446" s="94"/>
      <c r="L446" s="94"/>
      <c r="M446" s="94"/>
      <c r="N446" s="94"/>
      <c r="O446" s="94"/>
      <c r="P446" s="94"/>
      <c r="Q446" s="94"/>
      <c r="R446" s="94"/>
      <c r="S446" s="94"/>
      <c r="T446" s="94"/>
      <c r="U446" s="94"/>
      <c r="V446" s="94"/>
      <c r="W446" s="94"/>
      <c r="X446" s="94"/>
      <c r="Y446" s="94"/>
      <c r="Z446" s="94"/>
    </row>
    <row r="447">
      <c r="A447" s="1"/>
      <c r="C447" s="44"/>
      <c r="E447" s="44"/>
      <c r="F447" s="94"/>
      <c r="G447" s="94"/>
      <c r="H447" s="94"/>
      <c r="I447" s="94"/>
      <c r="J447" s="94"/>
      <c r="K447" s="94"/>
      <c r="L447" s="94"/>
      <c r="M447" s="94"/>
      <c r="N447" s="94"/>
      <c r="O447" s="94"/>
      <c r="P447" s="94"/>
      <c r="Q447" s="94"/>
      <c r="R447" s="94"/>
      <c r="S447" s="94"/>
      <c r="T447" s="94"/>
      <c r="U447" s="94"/>
      <c r="V447" s="94"/>
      <c r="W447" s="94"/>
      <c r="X447" s="94"/>
      <c r="Y447" s="94"/>
      <c r="Z447" s="94"/>
    </row>
    <row r="448">
      <c r="A448" s="1"/>
      <c r="C448" s="44"/>
      <c r="E448" s="44"/>
      <c r="F448" s="94"/>
      <c r="G448" s="94"/>
      <c r="H448" s="94"/>
      <c r="I448" s="94"/>
      <c r="J448" s="94"/>
      <c r="K448" s="94"/>
      <c r="L448" s="94"/>
      <c r="M448" s="94"/>
      <c r="N448" s="94"/>
      <c r="O448" s="94"/>
      <c r="P448" s="94"/>
      <c r="Q448" s="94"/>
      <c r="R448" s="94"/>
      <c r="S448" s="94"/>
      <c r="T448" s="94"/>
      <c r="U448" s="94"/>
      <c r="V448" s="94"/>
      <c r="W448" s="94"/>
      <c r="X448" s="94"/>
      <c r="Y448" s="94"/>
      <c r="Z448" s="94"/>
    </row>
    <row r="449">
      <c r="A449" s="1"/>
      <c r="C449" s="44"/>
      <c r="E449" s="44"/>
      <c r="F449" s="94"/>
      <c r="G449" s="94"/>
      <c r="H449" s="94"/>
      <c r="I449" s="94"/>
      <c r="J449" s="94"/>
      <c r="K449" s="94"/>
      <c r="L449" s="94"/>
      <c r="M449" s="94"/>
      <c r="N449" s="94"/>
      <c r="O449" s="94"/>
      <c r="P449" s="94"/>
      <c r="Q449" s="94"/>
      <c r="R449" s="94"/>
      <c r="S449" s="94"/>
      <c r="T449" s="94"/>
      <c r="U449" s="94"/>
      <c r="V449" s="94"/>
      <c r="W449" s="94"/>
      <c r="X449" s="94"/>
      <c r="Y449" s="94"/>
      <c r="Z449" s="94"/>
    </row>
    <row r="450">
      <c r="A450" s="1"/>
      <c r="C450" s="44"/>
      <c r="E450" s="44"/>
      <c r="F450" s="94"/>
      <c r="G450" s="94"/>
      <c r="H450" s="94"/>
      <c r="I450" s="94"/>
      <c r="J450" s="94"/>
      <c r="K450" s="94"/>
      <c r="L450" s="94"/>
      <c r="M450" s="94"/>
      <c r="N450" s="94"/>
      <c r="O450" s="94"/>
      <c r="P450" s="94"/>
      <c r="Q450" s="94"/>
      <c r="R450" s="94"/>
      <c r="S450" s="94"/>
      <c r="T450" s="94"/>
      <c r="U450" s="94"/>
      <c r="V450" s="94"/>
      <c r="W450" s="94"/>
      <c r="X450" s="94"/>
      <c r="Y450" s="94"/>
      <c r="Z450" s="94"/>
    </row>
    <row r="451">
      <c r="A451" s="1"/>
      <c r="C451" s="44"/>
      <c r="E451" s="44"/>
      <c r="F451" s="94"/>
      <c r="G451" s="94"/>
      <c r="H451" s="94"/>
      <c r="I451" s="94"/>
      <c r="J451" s="94"/>
      <c r="K451" s="94"/>
      <c r="L451" s="94"/>
      <c r="M451" s="94"/>
      <c r="N451" s="94"/>
      <c r="O451" s="94"/>
      <c r="P451" s="94"/>
      <c r="Q451" s="94"/>
      <c r="R451" s="94"/>
      <c r="S451" s="94"/>
      <c r="T451" s="94"/>
      <c r="U451" s="94"/>
      <c r="V451" s="94"/>
      <c r="W451" s="94"/>
      <c r="X451" s="94"/>
      <c r="Y451" s="94"/>
      <c r="Z451" s="94"/>
    </row>
    <row r="452">
      <c r="A452" s="1"/>
      <c r="C452" s="44"/>
      <c r="E452" s="44"/>
      <c r="F452" s="94"/>
      <c r="G452" s="94"/>
      <c r="H452" s="94"/>
      <c r="I452" s="94"/>
      <c r="J452" s="94"/>
      <c r="K452" s="94"/>
      <c r="L452" s="94"/>
      <c r="M452" s="94"/>
      <c r="N452" s="94"/>
      <c r="O452" s="94"/>
      <c r="P452" s="94"/>
      <c r="Q452" s="94"/>
      <c r="R452" s="94"/>
      <c r="S452" s="94"/>
      <c r="T452" s="94"/>
      <c r="U452" s="94"/>
      <c r="V452" s="94"/>
      <c r="W452" s="94"/>
      <c r="X452" s="94"/>
      <c r="Y452" s="94"/>
      <c r="Z452" s="94"/>
    </row>
    <row r="453">
      <c r="A453" s="1"/>
      <c r="C453" s="44"/>
      <c r="E453" s="44"/>
      <c r="F453" s="94"/>
      <c r="G453" s="94"/>
      <c r="H453" s="94"/>
      <c r="I453" s="94"/>
      <c r="J453" s="94"/>
      <c r="K453" s="94"/>
      <c r="L453" s="94"/>
      <c r="M453" s="94"/>
      <c r="N453" s="94"/>
      <c r="O453" s="94"/>
      <c r="P453" s="94"/>
      <c r="Q453" s="94"/>
      <c r="R453" s="94"/>
      <c r="S453" s="94"/>
      <c r="T453" s="94"/>
      <c r="U453" s="94"/>
      <c r="V453" s="94"/>
      <c r="W453" s="94"/>
      <c r="X453" s="94"/>
      <c r="Y453" s="94"/>
      <c r="Z453" s="94"/>
    </row>
    <row r="454">
      <c r="A454" s="1"/>
      <c r="C454" s="44"/>
      <c r="E454" s="44"/>
      <c r="F454" s="94"/>
      <c r="G454" s="94"/>
      <c r="H454" s="94"/>
      <c r="I454" s="94"/>
      <c r="J454" s="94"/>
      <c r="K454" s="94"/>
      <c r="L454" s="94"/>
      <c r="M454" s="94"/>
      <c r="N454" s="94"/>
      <c r="O454" s="94"/>
      <c r="P454" s="94"/>
      <c r="Q454" s="94"/>
      <c r="R454" s="94"/>
      <c r="S454" s="94"/>
      <c r="T454" s="94"/>
      <c r="U454" s="94"/>
      <c r="V454" s="94"/>
      <c r="W454" s="94"/>
      <c r="X454" s="94"/>
      <c r="Y454" s="94"/>
      <c r="Z454" s="94"/>
    </row>
    <row r="455">
      <c r="A455" s="1"/>
      <c r="C455" s="44"/>
      <c r="E455" s="44"/>
      <c r="F455" s="94"/>
      <c r="G455" s="94"/>
      <c r="H455" s="94"/>
      <c r="I455" s="94"/>
      <c r="J455" s="94"/>
      <c r="K455" s="94"/>
      <c r="L455" s="94"/>
      <c r="M455" s="94"/>
      <c r="N455" s="94"/>
      <c r="O455" s="94"/>
      <c r="P455" s="94"/>
      <c r="Q455" s="94"/>
      <c r="R455" s="94"/>
      <c r="S455" s="94"/>
      <c r="T455" s="94"/>
      <c r="U455" s="94"/>
      <c r="V455" s="94"/>
      <c r="W455" s="94"/>
      <c r="X455" s="94"/>
      <c r="Y455" s="94"/>
      <c r="Z455" s="94"/>
    </row>
    <row r="456">
      <c r="A456" s="1"/>
      <c r="C456" s="44"/>
      <c r="E456" s="44"/>
      <c r="F456" s="94"/>
      <c r="G456" s="94"/>
      <c r="H456" s="94"/>
      <c r="I456" s="94"/>
      <c r="J456" s="94"/>
      <c r="K456" s="94"/>
      <c r="L456" s="94"/>
      <c r="M456" s="94"/>
      <c r="N456" s="94"/>
      <c r="O456" s="94"/>
      <c r="P456" s="94"/>
      <c r="Q456" s="94"/>
      <c r="R456" s="94"/>
      <c r="S456" s="94"/>
      <c r="T456" s="94"/>
      <c r="U456" s="94"/>
      <c r="V456" s="94"/>
      <c r="W456" s="94"/>
      <c r="X456" s="94"/>
      <c r="Y456" s="94"/>
      <c r="Z456" s="94"/>
    </row>
    <row r="457">
      <c r="A457" s="1"/>
      <c r="C457" s="44"/>
      <c r="E457" s="44"/>
      <c r="F457" s="94"/>
      <c r="G457" s="94"/>
      <c r="H457" s="94"/>
      <c r="I457" s="94"/>
      <c r="J457" s="94"/>
      <c r="K457" s="94"/>
      <c r="L457" s="94"/>
      <c r="M457" s="94"/>
      <c r="N457" s="94"/>
      <c r="O457" s="94"/>
      <c r="P457" s="94"/>
      <c r="Q457" s="94"/>
      <c r="R457" s="94"/>
      <c r="S457" s="94"/>
      <c r="T457" s="94"/>
      <c r="U457" s="94"/>
      <c r="V457" s="94"/>
      <c r="W457" s="94"/>
      <c r="X457" s="94"/>
      <c r="Y457" s="94"/>
      <c r="Z457" s="94"/>
    </row>
    <row r="458">
      <c r="A458" s="1"/>
      <c r="C458" s="44"/>
      <c r="E458" s="44"/>
      <c r="F458" s="94"/>
      <c r="G458" s="94"/>
      <c r="H458" s="94"/>
      <c r="I458" s="94"/>
      <c r="J458" s="94"/>
      <c r="K458" s="94"/>
      <c r="L458" s="94"/>
      <c r="M458" s="94"/>
      <c r="N458" s="94"/>
      <c r="O458" s="94"/>
      <c r="P458" s="94"/>
      <c r="Q458" s="94"/>
      <c r="R458" s="94"/>
      <c r="S458" s="94"/>
      <c r="T458" s="94"/>
      <c r="U458" s="94"/>
      <c r="V458" s="94"/>
      <c r="W458" s="94"/>
      <c r="X458" s="94"/>
      <c r="Y458" s="94"/>
      <c r="Z458" s="94"/>
    </row>
    <row r="459">
      <c r="A459" s="1"/>
      <c r="C459" s="44"/>
      <c r="E459" s="44"/>
      <c r="F459" s="94"/>
      <c r="G459" s="94"/>
      <c r="H459" s="94"/>
      <c r="I459" s="94"/>
      <c r="J459" s="94"/>
      <c r="K459" s="94"/>
      <c r="L459" s="94"/>
      <c r="M459" s="94"/>
      <c r="N459" s="94"/>
      <c r="O459" s="94"/>
      <c r="P459" s="94"/>
      <c r="Q459" s="94"/>
      <c r="R459" s="94"/>
      <c r="S459" s="94"/>
      <c r="T459" s="94"/>
      <c r="U459" s="94"/>
      <c r="V459" s="94"/>
      <c r="W459" s="94"/>
      <c r="X459" s="94"/>
      <c r="Y459" s="94"/>
      <c r="Z459" s="94"/>
    </row>
    <row r="460">
      <c r="A460" s="1"/>
      <c r="C460" s="44"/>
      <c r="E460" s="44"/>
      <c r="F460" s="94"/>
      <c r="G460" s="94"/>
      <c r="H460" s="94"/>
      <c r="I460" s="94"/>
      <c r="J460" s="94"/>
      <c r="K460" s="94"/>
      <c r="L460" s="94"/>
      <c r="M460" s="94"/>
      <c r="N460" s="94"/>
      <c r="O460" s="94"/>
      <c r="P460" s="94"/>
      <c r="Q460" s="94"/>
      <c r="R460" s="94"/>
      <c r="S460" s="94"/>
      <c r="T460" s="94"/>
      <c r="U460" s="94"/>
      <c r="V460" s="94"/>
      <c r="W460" s="94"/>
      <c r="X460" s="94"/>
      <c r="Y460" s="94"/>
      <c r="Z460" s="94"/>
    </row>
    <row r="461">
      <c r="A461" s="1"/>
      <c r="C461" s="44"/>
      <c r="E461" s="44"/>
      <c r="F461" s="94"/>
      <c r="G461" s="94"/>
      <c r="H461" s="94"/>
      <c r="I461" s="94"/>
      <c r="J461" s="94"/>
      <c r="K461" s="94"/>
      <c r="L461" s="94"/>
      <c r="M461" s="94"/>
      <c r="N461" s="94"/>
      <c r="O461" s="94"/>
      <c r="P461" s="94"/>
      <c r="Q461" s="94"/>
      <c r="R461" s="94"/>
      <c r="S461" s="94"/>
      <c r="T461" s="94"/>
      <c r="U461" s="94"/>
      <c r="V461" s="94"/>
      <c r="W461" s="94"/>
      <c r="X461" s="94"/>
      <c r="Y461" s="94"/>
      <c r="Z461" s="94"/>
    </row>
    <row r="462">
      <c r="A462" s="1"/>
      <c r="C462" s="44"/>
      <c r="E462" s="44"/>
      <c r="F462" s="94"/>
      <c r="G462" s="94"/>
      <c r="H462" s="94"/>
      <c r="I462" s="94"/>
      <c r="J462" s="94"/>
      <c r="K462" s="94"/>
      <c r="L462" s="94"/>
      <c r="M462" s="94"/>
      <c r="N462" s="94"/>
      <c r="O462" s="94"/>
      <c r="P462" s="94"/>
      <c r="Q462" s="94"/>
      <c r="R462" s="94"/>
      <c r="S462" s="94"/>
      <c r="T462" s="94"/>
      <c r="U462" s="94"/>
      <c r="V462" s="94"/>
      <c r="W462" s="94"/>
      <c r="X462" s="94"/>
      <c r="Y462" s="94"/>
      <c r="Z462" s="94"/>
    </row>
    <row r="463">
      <c r="A463" s="1"/>
      <c r="C463" s="44"/>
      <c r="E463" s="44"/>
      <c r="F463" s="94"/>
      <c r="G463" s="94"/>
      <c r="H463" s="94"/>
      <c r="I463" s="94"/>
      <c r="J463" s="94"/>
      <c r="K463" s="94"/>
      <c r="L463" s="94"/>
      <c r="M463" s="94"/>
      <c r="N463" s="94"/>
      <c r="O463" s="94"/>
      <c r="P463" s="94"/>
      <c r="Q463" s="94"/>
      <c r="R463" s="94"/>
      <c r="S463" s="94"/>
      <c r="T463" s="94"/>
      <c r="U463" s="94"/>
      <c r="V463" s="94"/>
      <c r="W463" s="94"/>
      <c r="X463" s="94"/>
      <c r="Y463" s="94"/>
      <c r="Z463" s="94"/>
    </row>
    <row r="464">
      <c r="A464" s="1"/>
      <c r="C464" s="44"/>
      <c r="E464" s="44"/>
      <c r="F464" s="94"/>
      <c r="G464" s="94"/>
      <c r="H464" s="94"/>
      <c r="I464" s="94"/>
      <c r="J464" s="94"/>
      <c r="K464" s="94"/>
      <c r="L464" s="94"/>
      <c r="M464" s="94"/>
      <c r="N464" s="94"/>
      <c r="O464" s="94"/>
      <c r="P464" s="94"/>
      <c r="Q464" s="94"/>
      <c r="R464" s="94"/>
      <c r="S464" s="94"/>
      <c r="T464" s="94"/>
      <c r="U464" s="94"/>
      <c r="V464" s="94"/>
      <c r="W464" s="94"/>
      <c r="X464" s="94"/>
      <c r="Y464" s="94"/>
      <c r="Z464" s="94"/>
    </row>
    <row r="465">
      <c r="A465" s="1"/>
      <c r="C465" s="44"/>
      <c r="E465" s="44"/>
      <c r="F465" s="94"/>
      <c r="G465" s="94"/>
      <c r="H465" s="94"/>
      <c r="I465" s="94"/>
      <c r="J465" s="94"/>
      <c r="K465" s="94"/>
      <c r="L465" s="94"/>
      <c r="M465" s="94"/>
      <c r="N465" s="94"/>
      <c r="O465" s="94"/>
      <c r="P465" s="94"/>
      <c r="Q465" s="94"/>
      <c r="R465" s="94"/>
      <c r="S465" s="94"/>
      <c r="T465" s="94"/>
      <c r="U465" s="94"/>
      <c r="V465" s="94"/>
      <c r="W465" s="94"/>
      <c r="X465" s="94"/>
      <c r="Y465" s="94"/>
      <c r="Z465" s="94"/>
    </row>
    <row r="466">
      <c r="A466" s="1"/>
      <c r="C466" s="44"/>
      <c r="E466" s="44"/>
      <c r="F466" s="94"/>
      <c r="G466" s="94"/>
      <c r="H466" s="94"/>
      <c r="I466" s="94"/>
      <c r="J466" s="94"/>
      <c r="K466" s="94"/>
      <c r="L466" s="94"/>
      <c r="M466" s="94"/>
      <c r="N466" s="94"/>
      <c r="O466" s="94"/>
      <c r="P466" s="94"/>
      <c r="Q466" s="94"/>
      <c r="R466" s="94"/>
      <c r="S466" s="94"/>
      <c r="T466" s="94"/>
      <c r="U466" s="94"/>
      <c r="V466" s="94"/>
      <c r="W466" s="94"/>
      <c r="X466" s="94"/>
      <c r="Y466" s="94"/>
      <c r="Z466" s="94"/>
    </row>
    <row r="467">
      <c r="A467" s="1"/>
      <c r="C467" s="44"/>
      <c r="E467" s="44"/>
      <c r="F467" s="94"/>
      <c r="G467" s="94"/>
      <c r="H467" s="94"/>
      <c r="I467" s="94"/>
      <c r="J467" s="94"/>
      <c r="K467" s="94"/>
      <c r="L467" s="94"/>
      <c r="M467" s="94"/>
      <c r="N467" s="94"/>
      <c r="O467" s="94"/>
      <c r="P467" s="94"/>
      <c r="Q467" s="94"/>
      <c r="R467" s="94"/>
      <c r="S467" s="94"/>
      <c r="T467" s="94"/>
      <c r="U467" s="94"/>
      <c r="V467" s="94"/>
      <c r="W467" s="94"/>
      <c r="X467" s="94"/>
      <c r="Y467" s="94"/>
      <c r="Z467" s="94"/>
    </row>
    <row r="468">
      <c r="A468" s="1"/>
      <c r="C468" s="44"/>
      <c r="E468" s="44"/>
      <c r="F468" s="94"/>
      <c r="G468" s="94"/>
      <c r="H468" s="94"/>
      <c r="I468" s="94"/>
      <c r="J468" s="94"/>
      <c r="K468" s="94"/>
      <c r="L468" s="94"/>
      <c r="M468" s="94"/>
      <c r="N468" s="94"/>
      <c r="O468" s="94"/>
      <c r="P468" s="94"/>
      <c r="Q468" s="94"/>
      <c r="R468" s="94"/>
      <c r="S468" s="94"/>
      <c r="T468" s="94"/>
      <c r="U468" s="94"/>
      <c r="V468" s="94"/>
      <c r="W468" s="94"/>
      <c r="X468" s="94"/>
      <c r="Y468" s="94"/>
      <c r="Z468" s="94"/>
    </row>
    <row r="469">
      <c r="A469" s="1"/>
      <c r="C469" s="44"/>
      <c r="E469" s="44"/>
      <c r="F469" s="94"/>
      <c r="G469" s="94"/>
      <c r="H469" s="94"/>
      <c r="I469" s="94"/>
      <c r="J469" s="94"/>
      <c r="K469" s="94"/>
      <c r="L469" s="94"/>
      <c r="M469" s="94"/>
      <c r="N469" s="94"/>
      <c r="O469" s="94"/>
      <c r="P469" s="94"/>
      <c r="Q469" s="94"/>
      <c r="R469" s="94"/>
      <c r="S469" s="94"/>
      <c r="T469" s="94"/>
      <c r="U469" s="94"/>
      <c r="V469" s="94"/>
      <c r="W469" s="94"/>
      <c r="X469" s="94"/>
      <c r="Y469" s="94"/>
      <c r="Z469" s="94"/>
    </row>
    <row r="470">
      <c r="A470" s="1"/>
      <c r="C470" s="44"/>
      <c r="E470" s="44"/>
      <c r="F470" s="94"/>
      <c r="G470" s="94"/>
      <c r="H470" s="94"/>
      <c r="I470" s="94"/>
      <c r="J470" s="94"/>
      <c r="K470" s="94"/>
      <c r="L470" s="94"/>
      <c r="M470" s="94"/>
      <c r="N470" s="94"/>
      <c r="O470" s="94"/>
      <c r="P470" s="94"/>
      <c r="Q470" s="94"/>
      <c r="R470" s="94"/>
      <c r="S470" s="94"/>
      <c r="T470" s="94"/>
      <c r="U470" s="94"/>
      <c r="V470" s="94"/>
      <c r="W470" s="94"/>
      <c r="X470" s="94"/>
      <c r="Y470" s="94"/>
      <c r="Z470" s="94"/>
    </row>
    <row r="471">
      <c r="A471" s="1"/>
      <c r="C471" s="44"/>
      <c r="E471" s="44"/>
      <c r="F471" s="94"/>
      <c r="G471" s="94"/>
      <c r="H471" s="94"/>
      <c r="I471" s="94"/>
      <c r="J471" s="94"/>
      <c r="K471" s="94"/>
      <c r="L471" s="94"/>
      <c r="M471" s="94"/>
      <c r="N471" s="94"/>
      <c r="O471" s="94"/>
      <c r="P471" s="94"/>
      <c r="Q471" s="94"/>
      <c r="R471" s="94"/>
      <c r="S471" s="94"/>
      <c r="T471" s="94"/>
      <c r="U471" s="94"/>
      <c r="V471" s="94"/>
      <c r="W471" s="94"/>
      <c r="X471" s="94"/>
      <c r="Y471" s="94"/>
      <c r="Z471" s="94"/>
    </row>
    <row r="472">
      <c r="A472" s="1"/>
      <c r="C472" s="44"/>
      <c r="E472" s="44"/>
      <c r="F472" s="94"/>
      <c r="G472" s="94"/>
      <c r="H472" s="94"/>
      <c r="I472" s="94"/>
      <c r="J472" s="94"/>
      <c r="K472" s="94"/>
      <c r="L472" s="94"/>
      <c r="M472" s="94"/>
      <c r="N472" s="94"/>
      <c r="O472" s="94"/>
      <c r="P472" s="94"/>
      <c r="Q472" s="94"/>
      <c r="R472" s="94"/>
      <c r="S472" s="94"/>
      <c r="T472" s="94"/>
      <c r="U472" s="94"/>
      <c r="V472" s="94"/>
      <c r="W472" s="94"/>
      <c r="X472" s="94"/>
      <c r="Y472" s="94"/>
      <c r="Z472" s="94"/>
    </row>
    <row r="473">
      <c r="A473" s="1"/>
      <c r="C473" s="44"/>
      <c r="E473" s="44"/>
      <c r="F473" s="94"/>
      <c r="G473" s="94"/>
      <c r="H473" s="94"/>
      <c r="I473" s="94"/>
      <c r="J473" s="94"/>
      <c r="K473" s="94"/>
      <c r="L473" s="94"/>
      <c r="M473" s="94"/>
      <c r="N473" s="94"/>
      <c r="O473" s="94"/>
      <c r="P473" s="94"/>
      <c r="Q473" s="94"/>
      <c r="R473" s="94"/>
      <c r="S473" s="94"/>
      <c r="T473" s="94"/>
      <c r="U473" s="94"/>
      <c r="V473" s="94"/>
      <c r="W473" s="94"/>
      <c r="X473" s="94"/>
      <c r="Y473" s="94"/>
      <c r="Z473" s="94"/>
    </row>
    <row r="474">
      <c r="A474" s="1"/>
      <c r="C474" s="44"/>
      <c r="E474" s="44"/>
      <c r="F474" s="94"/>
      <c r="G474" s="94"/>
      <c r="H474" s="94"/>
      <c r="I474" s="94"/>
      <c r="J474" s="94"/>
      <c r="K474" s="94"/>
      <c r="L474" s="94"/>
      <c r="M474" s="94"/>
      <c r="N474" s="94"/>
      <c r="O474" s="94"/>
      <c r="P474" s="94"/>
      <c r="Q474" s="94"/>
      <c r="R474" s="94"/>
      <c r="S474" s="94"/>
      <c r="T474" s="94"/>
      <c r="U474" s="94"/>
      <c r="V474" s="94"/>
      <c r="W474" s="94"/>
      <c r="X474" s="94"/>
      <c r="Y474" s="94"/>
      <c r="Z474" s="94"/>
    </row>
    <row r="475">
      <c r="A475" s="1"/>
      <c r="C475" s="44"/>
      <c r="E475" s="44"/>
      <c r="F475" s="94"/>
      <c r="G475" s="94"/>
      <c r="H475" s="94"/>
      <c r="I475" s="94"/>
      <c r="J475" s="94"/>
      <c r="K475" s="94"/>
      <c r="L475" s="94"/>
      <c r="M475" s="94"/>
      <c r="N475" s="94"/>
      <c r="O475" s="94"/>
      <c r="P475" s="94"/>
      <c r="Q475" s="94"/>
      <c r="R475" s="94"/>
      <c r="S475" s="94"/>
      <c r="T475" s="94"/>
      <c r="U475" s="94"/>
      <c r="V475" s="94"/>
      <c r="W475" s="94"/>
      <c r="X475" s="94"/>
      <c r="Y475" s="94"/>
      <c r="Z475" s="94"/>
    </row>
    <row r="476">
      <c r="A476" s="1"/>
      <c r="C476" s="44"/>
      <c r="E476" s="44"/>
      <c r="F476" s="94"/>
      <c r="G476" s="94"/>
      <c r="H476" s="94"/>
      <c r="I476" s="94"/>
      <c r="J476" s="94"/>
      <c r="K476" s="94"/>
      <c r="L476" s="94"/>
      <c r="M476" s="94"/>
      <c r="N476" s="94"/>
      <c r="O476" s="94"/>
      <c r="P476" s="94"/>
      <c r="Q476" s="94"/>
      <c r="R476" s="94"/>
      <c r="S476" s="94"/>
      <c r="T476" s="94"/>
      <c r="U476" s="94"/>
      <c r="V476" s="94"/>
      <c r="W476" s="94"/>
      <c r="X476" s="94"/>
      <c r="Y476" s="94"/>
      <c r="Z476" s="94"/>
    </row>
    <row r="477">
      <c r="A477" s="1"/>
      <c r="C477" s="44"/>
      <c r="E477" s="44"/>
      <c r="F477" s="94"/>
      <c r="G477" s="94"/>
      <c r="H477" s="94"/>
      <c r="I477" s="94"/>
      <c r="J477" s="94"/>
      <c r="K477" s="94"/>
      <c r="L477" s="94"/>
      <c r="M477" s="94"/>
      <c r="N477" s="94"/>
      <c r="O477" s="94"/>
      <c r="P477" s="94"/>
      <c r="Q477" s="94"/>
      <c r="R477" s="94"/>
      <c r="S477" s="94"/>
      <c r="T477" s="94"/>
      <c r="U477" s="94"/>
      <c r="V477" s="94"/>
      <c r="W477" s="94"/>
      <c r="X477" s="94"/>
      <c r="Y477" s="94"/>
      <c r="Z477" s="94"/>
    </row>
    <row r="478">
      <c r="A478" s="1"/>
      <c r="C478" s="44"/>
      <c r="E478" s="44"/>
      <c r="F478" s="94"/>
      <c r="G478" s="94"/>
      <c r="H478" s="94"/>
      <c r="I478" s="94"/>
      <c r="J478" s="94"/>
      <c r="K478" s="94"/>
      <c r="L478" s="94"/>
      <c r="M478" s="94"/>
      <c r="N478" s="94"/>
      <c r="O478" s="94"/>
      <c r="P478" s="94"/>
      <c r="Q478" s="94"/>
      <c r="R478" s="94"/>
      <c r="S478" s="94"/>
      <c r="T478" s="94"/>
      <c r="U478" s="94"/>
      <c r="V478" s="94"/>
      <c r="W478" s="94"/>
      <c r="X478" s="94"/>
      <c r="Y478" s="94"/>
      <c r="Z478" s="94"/>
    </row>
    <row r="479">
      <c r="A479" s="1"/>
      <c r="C479" s="44"/>
      <c r="E479" s="44"/>
      <c r="F479" s="94"/>
      <c r="G479" s="94"/>
      <c r="H479" s="94"/>
      <c r="I479" s="94"/>
      <c r="J479" s="94"/>
      <c r="K479" s="94"/>
      <c r="L479" s="94"/>
      <c r="M479" s="94"/>
      <c r="N479" s="94"/>
      <c r="O479" s="94"/>
      <c r="P479" s="94"/>
      <c r="Q479" s="94"/>
      <c r="R479" s="94"/>
      <c r="S479" s="94"/>
      <c r="T479" s="94"/>
      <c r="U479" s="94"/>
      <c r="V479" s="94"/>
      <c r="W479" s="94"/>
      <c r="X479" s="94"/>
      <c r="Y479" s="94"/>
      <c r="Z479" s="94"/>
    </row>
    <row r="480">
      <c r="A480" s="1"/>
      <c r="C480" s="44"/>
      <c r="E480" s="44"/>
      <c r="F480" s="94"/>
      <c r="G480" s="94"/>
      <c r="H480" s="94"/>
      <c r="I480" s="94"/>
      <c r="J480" s="94"/>
      <c r="K480" s="94"/>
      <c r="L480" s="94"/>
      <c r="M480" s="94"/>
      <c r="N480" s="94"/>
      <c r="O480" s="94"/>
      <c r="P480" s="94"/>
      <c r="Q480" s="94"/>
      <c r="R480" s="94"/>
      <c r="S480" s="94"/>
      <c r="T480" s="94"/>
      <c r="U480" s="94"/>
      <c r="V480" s="94"/>
      <c r="W480" s="94"/>
      <c r="X480" s="94"/>
      <c r="Y480" s="94"/>
      <c r="Z480" s="94"/>
    </row>
    <row r="481">
      <c r="A481" s="1"/>
      <c r="C481" s="44"/>
      <c r="E481" s="44"/>
      <c r="F481" s="94"/>
      <c r="G481" s="94"/>
      <c r="H481" s="94"/>
      <c r="I481" s="94"/>
      <c r="J481" s="94"/>
      <c r="K481" s="94"/>
      <c r="L481" s="94"/>
      <c r="M481" s="94"/>
      <c r="N481" s="94"/>
      <c r="O481" s="94"/>
      <c r="P481" s="94"/>
      <c r="Q481" s="94"/>
      <c r="R481" s="94"/>
      <c r="S481" s="94"/>
      <c r="T481" s="94"/>
      <c r="U481" s="94"/>
      <c r="V481" s="94"/>
      <c r="W481" s="94"/>
      <c r="X481" s="94"/>
      <c r="Y481" s="94"/>
      <c r="Z481" s="94"/>
    </row>
    <row r="482">
      <c r="A482" s="1"/>
      <c r="C482" s="44"/>
      <c r="E482" s="44"/>
      <c r="F482" s="94"/>
      <c r="G482" s="94"/>
      <c r="H482" s="94"/>
      <c r="I482" s="94"/>
      <c r="J482" s="94"/>
      <c r="K482" s="94"/>
      <c r="L482" s="94"/>
      <c r="M482" s="94"/>
      <c r="N482" s="94"/>
      <c r="O482" s="94"/>
      <c r="P482" s="94"/>
      <c r="Q482" s="94"/>
      <c r="R482" s="94"/>
      <c r="S482" s="94"/>
      <c r="T482" s="94"/>
      <c r="U482" s="94"/>
      <c r="V482" s="94"/>
      <c r="W482" s="94"/>
      <c r="X482" s="94"/>
      <c r="Y482" s="94"/>
      <c r="Z482" s="94"/>
    </row>
    <row r="483">
      <c r="A483" s="1"/>
      <c r="C483" s="44"/>
      <c r="E483" s="44"/>
      <c r="F483" s="94"/>
      <c r="G483" s="94"/>
      <c r="H483" s="94"/>
      <c r="I483" s="94"/>
      <c r="J483" s="94"/>
      <c r="K483" s="94"/>
      <c r="L483" s="94"/>
      <c r="M483" s="94"/>
      <c r="N483" s="94"/>
      <c r="O483" s="94"/>
      <c r="P483" s="94"/>
      <c r="Q483" s="94"/>
      <c r="R483" s="94"/>
      <c r="S483" s="94"/>
      <c r="T483" s="94"/>
      <c r="U483" s="94"/>
      <c r="V483" s="94"/>
      <c r="W483" s="94"/>
      <c r="X483" s="94"/>
      <c r="Y483" s="94"/>
      <c r="Z483" s="94"/>
    </row>
    <row r="484">
      <c r="A484" s="1"/>
      <c r="C484" s="44"/>
      <c r="E484" s="44"/>
      <c r="F484" s="94"/>
      <c r="G484" s="94"/>
      <c r="H484" s="94"/>
      <c r="I484" s="94"/>
      <c r="J484" s="94"/>
      <c r="K484" s="94"/>
      <c r="L484" s="94"/>
      <c r="M484" s="94"/>
      <c r="N484" s="94"/>
      <c r="O484" s="94"/>
      <c r="P484" s="94"/>
      <c r="Q484" s="94"/>
      <c r="R484" s="94"/>
      <c r="S484" s="94"/>
      <c r="T484" s="94"/>
      <c r="U484" s="94"/>
      <c r="V484" s="94"/>
      <c r="W484" s="94"/>
      <c r="X484" s="94"/>
      <c r="Y484" s="94"/>
      <c r="Z484" s="94"/>
    </row>
    <row r="485">
      <c r="A485" s="1"/>
      <c r="C485" s="44"/>
      <c r="E485" s="44"/>
      <c r="F485" s="94"/>
      <c r="G485" s="94"/>
      <c r="H485" s="94"/>
      <c r="I485" s="94"/>
      <c r="J485" s="94"/>
      <c r="K485" s="94"/>
      <c r="L485" s="94"/>
      <c r="M485" s="94"/>
      <c r="N485" s="94"/>
      <c r="O485" s="94"/>
      <c r="P485" s="94"/>
      <c r="Q485" s="94"/>
      <c r="R485" s="94"/>
      <c r="S485" s="94"/>
      <c r="T485" s="94"/>
      <c r="U485" s="94"/>
      <c r="V485" s="94"/>
      <c r="W485" s="94"/>
      <c r="X485" s="94"/>
      <c r="Y485" s="94"/>
      <c r="Z485" s="94"/>
    </row>
    <row r="486">
      <c r="A486" s="1"/>
      <c r="C486" s="44"/>
      <c r="E486" s="44"/>
      <c r="F486" s="94"/>
      <c r="G486" s="94"/>
      <c r="H486" s="94"/>
      <c r="I486" s="94"/>
      <c r="J486" s="94"/>
      <c r="K486" s="94"/>
      <c r="L486" s="94"/>
      <c r="M486" s="94"/>
      <c r="N486" s="94"/>
      <c r="O486" s="94"/>
      <c r="P486" s="94"/>
      <c r="Q486" s="94"/>
      <c r="R486" s="94"/>
      <c r="S486" s="94"/>
      <c r="T486" s="94"/>
      <c r="U486" s="94"/>
      <c r="V486" s="94"/>
      <c r="W486" s="94"/>
      <c r="X486" s="94"/>
      <c r="Y486" s="94"/>
      <c r="Z486" s="94"/>
    </row>
    <row r="487">
      <c r="A487" s="1"/>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row>
    <row r="488">
      <c r="A488" s="1"/>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row>
    <row r="489">
      <c r="A489" s="1"/>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row>
    <row r="490">
      <c r="A490" s="1"/>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row>
    <row r="491">
      <c r="A491" s="1"/>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row>
    <row r="492">
      <c r="A492" s="1"/>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row>
    <row r="493">
      <c r="A493" s="1"/>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row>
    <row r="494">
      <c r="A494" s="1"/>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row>
    <row r="495">
      <c r="A495" s="1"/>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row>
    <row r="496">
      <c r="A496" s="1"/>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row>
    <row r="497">
      <c r="A497" s="1"/>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row>
    <row r="498">
      <c r="A498" s="1"/>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row>
    <row r="499">
      <c r="A499" s="1"/>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row>
    <row r="500">
      <c r="A500" s="1"/>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row>
    <row r="501">
      <c r="A501" s="1"/>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row>
    <row r="502">
      <c r="A502" s="1"/>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row>
    <row r="503">
      <c r="A503" s="1"/>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row>
    <row r="504">
      <c r="A504" s="1"/>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row>
    <row r="505">
      <c r="A505" s="1"/>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row>
    <row r="506">
      <c r="A506" s="1"/>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row>
    <row r="507">
      <c r="A507" s="1"/>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row>
    <row r="508">
      <c r="A508" s="1"/>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row>
    <row r="509">
      <c r="A509" s="1"/>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row>
    <row r="510">
      <c r="A510" s="1"/>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row>
    <row r="511">
      <c r="A511" s="1"/>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row>
    <row r="512">
      <c r="A512" s="1"/>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row>
    <row r="513">
      <c r="A513" s="1"/>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row>
    <row r="514">
      <c r="A514" s="1"/>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row>
    <row r="515">
      <c r="A515" s="1"/>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row>
    <row r="516">
      <c r="A516" s="1"/>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row>
    <row r="517">
      <c r="A517" s="1"/>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row>
    <row r="518">
      <c r="A518" s="1"/>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row>
    <row r="519">
      <c r="A519" s="1"/>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row>
    <row r="520">
      <c r="A520" s="1"/>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row>
    <row r="521">
      <c r="A521" s="1"/>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row>
    <row r="522">
      <c r="A522" s="1"/>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row>
    <row r="523">
      <c r="A523" s="1"/>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row>
    <row r="524">
      <c r="A524" s="1"/>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row>
    <row r="525">
      <c r="A525" s="1"/>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row>
    <row r="526">
      <c r="A526" s="1"/>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row>
    <row r="527">
      <c r="A527" s="1"/>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row>
    <row r="528">
      <c r="A528" s="1"/>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row>
    <row r="529">
      <c r="A529" s="1"/>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row>
    <row r="530">
      <c r="A530" s="1"/>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row>
    <row r="531">
      <c r="A531" s="1"/>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row>
    <row r="532">
      <c r="A532" s="1"/>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row>
    <row r="533">
      <c r="A533" s="1"/>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row>
    <row r="534">
      <c r="A534" s="1"/>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row>
    <row r="535">
      <c r="A535" s="1"/>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row>
    <row r="536">
      <c r="A536" s="1"/>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row>
    <row r="537">
      <c r="A537" s="1"/>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row>
    <row r="538">
      <c r="A538" s="1"/>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row>
    <row r="539">
      <c r="A539" s="1"/>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row>
    <row r="540">
      <c r="A540" s="1"/>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row>
    <row r="541">
      <c r="A541" s="1"/>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row>
    <row r="542">
      <c r="A542" s="1"/>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row>
    <row r="543">
      <c r="A543" s="1"/>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row>
    <row r="544">
      <c r="A544" s="1"/>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row>
    <row r="545">
      <c r="A545" s="1"/>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row>
    <row r="546">
      <c r="A546" s="1"/>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row>
    <row r="547">
      <c r="A547" s="1"/>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row>
    <row r="548">
      <c r="A548" s="1"/>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row>
    <row r="549">
      <c r="A549" s="1"/>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row>
    <row r="550">
      <c r="A550" s="1"/>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row>
    <row r="551">
      <c r="A551" s="1"/>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row>
    <row r="552">
      <c r="A552" s="1"/>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row>
    <row r="553">
      <c r="A553" s="1"/>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row>
    <row r="554">
      <c r="A554" s="1"/>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row>
    <row r="555">
      <c r="A555" s="1"/>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row>
    <row r="556">
      <c r="A556" s="1"/>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row>
    <row r="557">
      <c r="A557" s="1"/>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row>
    <row r="558">
      <c r="A558" s="1"/>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row>
    <row r="559">
      <c r="A559" s="1"/>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row>
    <row r="560">
      <c r="A560" s="1"/>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row>
    <row r="561">
      <c r="A561" s="1"/>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row>
    <row r="562">
      <c r="A562" s="1"/>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row>
    <row r="563">
      <c r="A563" s="1"/>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row>
    <row r="564">
      <c r="A564" s="1"/>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row>
    <row r="565">
      <c r="A565" s="1"/>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row>
    <row r="566">
      <c r="A566" s="1"/>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row>
    <row r="567">
      <c r="A567" s="1"/>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row>
    <row r="568">
      <c r="A568" s="1"/>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row>
    <row r="569">
      <c r="A569" s="1"/>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row>
    <row r="570">
      <c r="A570" s="1"/>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row>
    <row r="571">
      <c r="A571" s="1"/>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row>
    <row r="572">
      <c r="A572" s="1"/>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row>
    <row r="573">
      <c r="A573" s="1"/>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row>
    <row r="574">
      <c r="A574" s="1"/>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row>
    <row r="575">
      <c r="A575" s="1"/>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row>
    <row r="576">
      <c r="A576" s="1"/>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row>
    <row r="577">
      <c r="A577" s="1"/>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row>
    <row r="578">
      <c r="A578" s="1"/>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row>
    <row r="579">
      <c r="A579" s="1"/>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row>
    <row r="580">
      <c r="A580" s="1"/>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row>
    <row r="581">
      <c r="A581" s="1"/>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row>
    <row r="582">
      <c r="A582" s="1"/>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row>
    <row r="583">
      <c r="A583" s="1"/>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row>
    <row r="584">
      <c r="A584" s="1"/>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row>
    <row r="585">
      <c r="A585" s="1"/>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row>
    <row r="586">
      <c r="A586" s="1"/>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row>
    <row r="587">
      <c r="A587" s="1"/>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row>
    <row r="588">
      <c r="A588" s="1"/>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row>
    <row r="589">
      <c r="A589" s="1"/>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row>
    <row r="590">
      <c r="A590" s="1"/>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row>
    <row r="591">
      <c r="A591" s="1"/>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row>
    <row r="592">
      <c r="A592" s="1"/>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row>
    <row r="593">
      <c r="A593" s="1"/>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row>
    <row r="594">
      <c r="A594" s="1"/>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row>
    <row r="595">
      <c r="A595" s="1"/>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row>
    <row r="596">
      <c r="A596" s="1"/>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row>
    <row r="597">
      <c r="A597" s="1"/>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row>
    <row r="598">
      <c r="A598" s="1"/>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row>
    <row r="599">
      <c r="A599" s="1"/>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row>
    <row r="600">
      <c r="A600" s="1"/>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row>
    <row r="601">
      <c r="A601" s="1"/>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row>
    <row r="602">
      <c r="A602" s="1"/>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row>
    <row r="603">
      <c r="A603" s="1"/>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row>
    <row r="604">
      <c r="A604" s="1"/>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row>
    <row r="605">
      <c r="A605" s="1"/>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row>
    <row r="606">
      <c r="A606" s="1"/>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row>
    <row r="607">
      <c r="A607" s="1"/>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row>
    <row r="608">
      <c r="A608" s="1"/>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row>
    <row r="609">
      <c r="A609" s="1"/>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row>
    <row r="610">
      <c r="A610" s="1"/>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row>
    <row r="611">
      <c r="A611" s="1"/>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row>
    <row r="612">
      <c r="A612" s="1"/>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row>
    <row r="613">
      <c r="A613" s="1"/>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row>
    <row r="614">
      <c r="A614" s="1"/>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row>
    <row r="615">
      <c r="A615" s="1"/>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row>
    <row r="616">
      <c r="A616" s="1"/>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row>
    <row r="617">
      <c r="A617" s="1"/>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row>
    <row r="618">
      <c r="A618" s="1"/>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row>
    <row r="619">
      <c r="A619" s="1"/>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row>
    <row r="620">
      <c r="A620" s="1"/>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row>
    <row r="621">
      <c r="A621" s="1"/>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row>
    <row r="622">
      <c r="A622" s="1"/>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row>
    <row r="623">
      <c r="A623" s="1"/>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row>
    <row r="624">
      <c r="A624" s="1"/>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row>
    <row r="625">
      <c r="A625" s="1"/>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row>
    <row r="626">
      <c r="A626" s="1"/>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row>
    <row r="627">
      <c r="A627" s="1"/>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row>
    <row r="628">
      <c r="A628" s="1"/>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row>
    <row r="629">
      <c r="A629" s="1"/>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row>
    <row r="630">
      <c r="A630" s="1"/>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row>
    <row r="631">
      <c r="A631" s="1"/>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row>
    <row r="632">
      <c r="A632" s="1"/>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row>
    <row r="633">
      <c r="A633" s="1"/>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row>
    <row r="634">
      <c r="A634" s="1"/>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row>
    <row r="635">
      <c r="A635" s="1"/>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row>
    <row r="636">
      <c r="A636" s="1"/>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row>
    <row r="637">
      <c r="A637" s="1"/>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row>
    <row r="638">
      <c r="A638" s="1"/>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row>
    <row r="639">
      <c r="A639" s="1"/>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row>
    <row r="640">
      <c r="A640" s="1"/>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row>
    <row r="641">
      <c r="A641" s="1"/>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row>
    <row r="642">
      <c r="A642" s="1"/>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row>
    <row r="643">
      <c r="A643" s="1"/>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row>
    <row r="644">
      <c r="A644" s="1"/>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row>
    <row r="645">
      <c r="A645" s="1"/>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row>
    <row r="646">
      <c r="A646" s="1"/>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row>
    <row r="647">
      <c r="A647" s="1"/>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row>
    <row r="648">
      <c r="A648" s="1"/>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row>
    <row r="649">
      <c r="A649" s="1"/>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row>
    <row r="650">
      <c r="A650" s="1"/>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row>
    <row r="651">
      <c r="A651" s="1"/>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row>
    <row r="652">
      <c r="A652" s="1"/>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row>
    <row r="653">
      <c r="A653" s="1"/>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row>
    <row r="654">
      <c r="A654" s="1"/>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row>
    <row r="655">
      <c r="A655" s="1"/>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row>
    <row r="656">
      <c r="A656" s="1"/>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row>
    <row r="657">
      <c r="A657" s="1"/>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row>
    <row r="658">
      <c r="A658" s="1"/>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row>
    <row r="659">
      <c r="A659" s="1"/>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row>
    <row r="660">
      <c r="A660" s="1"/>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row>
    <row r="661">
      <c r="A661" s="1"/>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row>
    <row r="662">
      <c r="A662" s="1"/>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row>
    <row r="663">
      <c r="A663" s="1"/>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row>
    <row r="664">
      <c r="A664" s="1"/>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row>
    <row r="665">
      <c r="A665" s="1"/>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row>
    <row r="666">
      <c r="A666" s="1"/>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row>
    <row r="667">
      <c r="A667" s="1"/>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row>
    <row r="668">
      <c r="A668" s="1"/>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row>
    <row r="669">
      <c r="A669" s="1"/>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row>
    <row r="670">
      <c r="A670" s="1"/>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row>
    <row r="671">
      <c r="A671" s="1"/>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row>
    <row r="672">
      <c r="A672" s="1"/>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row>
    <row r="673">
      <c r="A673" s="1"/>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row>
    <row r="674">
      <c r="A674" s="1"/>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row>
    <row r="675">
      <c r="A675" s="1"/>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row>
    <row r="676">
      <c r="A676" s="1"/>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row>
    <row r="677">
      <c r="A677" s="1"/>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row>
    <row r="678">
      <c r="A678" s="1"/>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row>
    <row r="679">
      <c r="A679" s="1"/>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row>
    <row r="680">
      <c r="A680" s="1"/>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row>
    <row r="681">
      <c r="A681" s="1"/>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row>
    <row r="682">
      <c r="A682" s="1"/>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row>
    <row r="683">
      <c r="A683" s="1"/>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row>
    <row r="684">
      <c r="A684" s="1"/>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row>
    <row r="685">
      <c r="A685" s="1"/>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row>
    <row r="686">
      <c r="A686" s="1"/>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row>
    <row r="687">
      <c r="A687" s="1"/>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row>
    <row r="688">
      <c r="A688" s="1"/>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row>
    <row r="689">
      <c r="A689" s="1"/>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row>
    <row r="690">
      <c r="A690" s="1"/>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row>
    <row r="691">
      <c r="A691" s="1"/>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row>
    <row r="692">
      <c r="A692" s="1"/>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row>
    <row r="693">
      <c r="A693" s="1"/>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row>
    <row r="694">
      <c r="A694" s="1"/>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row>
    <row r="695">
      <c r="A695" s="1"/>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row>
    <row r="696">
      <c r="A696" s="1"/>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row>
    <row r="697">
      <c r="A697" s="1"/>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row>
    <row r="698">
      <c r="A698" s="1"/>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row>
    <row r="699">
      <c r="A699" s="1"/>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row>
    <row r="700">
      <c r="A700" s="1"/>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row>
    <row r="701">
      <c r="A701" s="1"/>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row>
    <row r="702">
      <c r="A702" s="1"/>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row>
    <row r="703">
      <c r="A703" s="1"/>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row>
    <row r="704">
      <c r="A704" s="1"/>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row>
    <row r="705">
      <c r="A705" s="1"/>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row>
    <row r="706">
      <c r="A706" s="1"/>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row>
    <row r="707">
      <c r="A707" s="1"/>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row>
    <row r="708">
      <c r="A708" s="1"/>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row>
    <row r="709">
      <c r="A709" s="1"/>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row>
    <row r="710">
      <c r="A710" s="1"/>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row>
    <row r="711">
      <c r="A711" s="1"/>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row>
    <row r="712">
      <c r="A712" s="1"/>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row>
    <row r="713">
      <c r="A713" s="1"/>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row>
    <row r="714">
      <c r="A714" s="1"/>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row>
    <row r="715">
      <c r="A715" s="1"/>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row>
    <row r="716">
      <c r="A716" s="1"/>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row>
    <row r="717">
      <c r="A717" s="1"/>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row>
    <row r="718">
      <c r="A718" s="1"/>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row>
    <row r="719">
      <c r="A719" s="1"/>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row>
    <row r="720">
      <c r="A720" s="1"/>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row>
    <row r="721">
      <c r="A721" s="1"/>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row>
    <row r="722">
      <c r="A722" s="1"/>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row>
    <row r="723">
      <c r="A723" s="1"/>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row>
    <row r="724">
      <c r="A724" s="1"/>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row>
    <row r="725">
      <c r="A725" s="1"/>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row>
    <row r="726">
      <c r="A726" s="1"/>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row>
    <row r="727">
      <c r="A727" s="1"/>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row>
    <row r="728">
      <c r="A728" s="1"/>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row>
    <row r="729">
      <c r="A729" s="1"/>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row>
    <row r="730">
      <c r="A730" s="1"/>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row>
    <row r="731">
      <c r="A731" s="1"/>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row>
    <row r="732">
      <c r="A732" s="1"/>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row>
    <row r="733">
      <c r="A733" s="1"/>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row>
    <row r="734">
      <c r="A734" s="1"/>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row>
    <row r="735">
      <c r="A735" s="1"/>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row>
    <row r="736">
      <c r="A736" s="1"/>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row>
    <row r="737">
      <c r="A737" s="1"/>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row>
    <row r="738">
      <c r="A738" s="1"/>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row>
    <row r="739">
      <c r="A739" s="1"/>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row>
    <row r="740">
      <c r="A740" s="1"/>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row>
    <row r="741">
      <c r="A741" s="1"/>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row>
    <row r="742">
      <c r="A742" s="1"/>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row>
    <row r="743">
      <c r="A743" s="1"/>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row>
    <row r="744">
      <c r="A744" s="1"/>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row>
    <row r="745">
      <c r="A745" s="1"/>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row>
    <row r="746">
      <c r="A746" s="1"/>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row>
    <row r="747">
      <c r="A747" s="1"/>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row>
    <row r="748">
      <c r="A748" s="1"/>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row>
    <row r="749">
      <c r="A749" s="1"/>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row>
    <row r="750">
      <c r="A750" s="1"/>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row>
    <row r="751">
      <c r="A751" s="1"/>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row>
    <row r="752">
      <c r="A752" s="1"/>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row>
    <row r="753">
      <c r="A753" s="1"/>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row>
    <row r="754">
      <c r="A754" s="1"/>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row>
    <row r="755">
      <c r="A755" s="1"/>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row>
    <row r="756">
      <c r="A756" s="1"/>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row>
    <row r="757">
      <c r="A757" s="1"/>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row>
    <row r="758">
      <c r="A758" s="1"/>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row>
    <row r="759">
      <c r="A759" s="1"/>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row>
    <row r="760">
      <c r="A760" s="1"/>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row>
    <row r="761">
      <c r="A761" s="1"/>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row>
    <row r="762">
      <c r="A762" s="1"/>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row>
    <row r="763">
      <c r="A763" s="1"/>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row>
    <row r="764">
      <c r="A764" s="1"/>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row>
    <row r="765">
      <c r="A765" s="1"/>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row>
    <row r="766">
      <c r="A766" s="1"/>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row>
    <row r="767">
      <c r="A767" s="1"/>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row>
    <row r="768">
      <c r="A768" s="1"/>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row>
    <row r="769">
      <c r="A769" s="1"/>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row>
    <row r="770">
      <c r="A770" s="1"/>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row>
    <row r="771">
      <c r="A771" s="1"/>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row>
    <row r="772">
      <c r="A772" s="1"/>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row>
    <row r="773">
      <c r="A773" s="1"/>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row>
    <row r="774">
      <c r="A774" s="1"/>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row>
    <row r="775">
      <c r="A775" s="1"/>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row>
    <row r="776">
      <c r="A776" s="1"/>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row>
    <row r="777">
      <c r="A777" s="1"/>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row>
    <row r="778">
      <c r="A778" s="1"/>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row>
    <row r="779">
      <c r="A779" s="1"/>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row>
    <row r="780">
      <c r="A780" s="1"/>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row>
    <row r="781">
      <c r="A781" s="1"/>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row>
    <row r="782">
      <c r="A782" s="1"/>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row>
    <row r="783">
      <c r="A783" s="1"/>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row>
    <row r="784">
      <c r="A784" s="1"/>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row>
    <row r="785">
      <c r="A785" s="1"/>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row>
    <row r="786">
      <c r="A786" s="1"/>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row>
    <row r="787">
      <c r="A787" s="1"/>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row>
    <row r="788">
      <c r="A788" s="1"/>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row>
    <row r="789">
      <c r="A789" s="1"/>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row>
    <row r="790">
      <c r="A790" s="1"/>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row>
    <row r="791">
      <c r="A791" s="1"/>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row>
    <row r="792">
      <c r="A792" s="1"/>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row>
    <row r="793">
      <c r="A793" s="1"/>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row>
    <row r="794">
      <c r="A794" s="1"/>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row>
    <row r="795">
      <c r="A795" s="1"/>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row>
    <row r="796">
      <c r="A796" s="1"/>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row>
    <row r="797">
      <c r="A797" s="1"/>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row>
    <row r="798">
      <c r="A798" s="1"/>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row>
    <row r="799">
      <c r="A799" s="1"/>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row>
    <row r="800">
      <c r="A800" s="1"/>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row>
    <row r="801">
      <c r="A801" s="1"/>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row>
    <row r="802">
      <c r="A802" s="1"/>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row>
    <row r="803">
      <c r="A803" s="1"/>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row>
    <row r="804">
      <c r="A804" s="1"/>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row>
    <row r="805">
      <c r="A805" s="1"/>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row>
    <row r="806">
      <c r="A806" s="1"/>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row>
    <row r="807">
      <c r="A807" s="1"/>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row>
    <row r="808">
      <c r="A808" s="1"/>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row>
    <row r="809">
      <c r="A809" s="1"/>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row>
    <row r="810">
      <c r="A810" s="1"/>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row>
    <row r="811">
      <c r="A811" s="1"/>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row>
    <row r="812">
      <c r="A812" s="1"/>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row>
    <row r="813">
      <c r="A813" s="1"/>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row>
    <row r="814">
      <c r="A814" s="1"/>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row>
    <row r="815">
      <c r="A815" s="1"/>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row>
    <row r="816">
      <c r="A816" s="1"/>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row>
    <row r="817">
      <c r="A817" s="1"/>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row>
    <row r="818">
      <c r="A818" s="1"/>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row>
    <row r="819">
      <c r="A819" s="1"/>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row>
    <row r="820">
      <c r="A820" s="1"/>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row>
    <row r="821">
      <c r="A821" s="1"/>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row>
    <row r="822">
      <c r="A822" s="1"/>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row>
    <row r="823">
      <c r="A823" s="1"/>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row>
    <row r="824">
      <c r="A824" s="1"/>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row>
    <row r="825">
      <c r="A825" s="1"/>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row>
    <row r="826">
      <c r="A826" s="1"/>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row>
    <row r="827">
      <c r="A827" s="1"/>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row>
    <row r="828">
      <c r="A828" s="1"/>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row>
    <row r="829">
      <c r="A829" s="1"/>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row>
    <row r="830">
      <c r="A830" s="1"/>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row>
    <row r="831">
      <c r="A831" s="1"/>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row>
    <row r="832">
      <c r="A832" s="1"/>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row>
    <row r="833">
      <c r="A833" s="1"/>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row>
    <row r="834">
      <c r="A834" s="1"/>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row>
    <row r="835">
      <c r="A835" s="1"/>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row>
    <row r="836">
      <c r="A836" s="1"/>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row>
    <row r="837">
      <c r="A837" s="1"/>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row>
    <row r="838">
      <c r="A838" s="1"/>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row>
    <row r="839">
      <c r="A839" s="1"/>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row>
    <row r="840">
      <c r="A840" s="1"/>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row>
    <row r="841">
      <c r="A841" s="1"/>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row>
    <row r="842">
      <c r="A842" s="1"/>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row>
    <row r="843">
      <c r="A843" s="1"/>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row>
    <row r="844">
      <c r="A844" s="1"/>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row>
    <row r="845">
      <c r="A845" s="1"/>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row>
    <row r="846">
      <c r="A846" s="1"/>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row>
    <row r="847">
      <c r="A847" s="1"/>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row>
    <row r="848">
      <c r="A848" s="1"/>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row>
    <row r="849">
      <c r="A849" s="1"/>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row>
    <row r="850">
      <c r="A850" s="1"/>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row>
    <row r="851">
      <c r="A851" s="1"/>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row>
    <row r="852">
      <c r="A852" s="1"/>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row>
    <row r="853">
      <c r="A853" s="1"/>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row>
    <row r="854">
      <c r="A854" s="1"/>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row>
    <row r="855">
      <c r="A855" s="1"/>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row>
    <row r="856">
      <c r="A856" s="1"/>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row>
    <row r="857">
      <c r="A857" s="1"/>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row>
    <row r="858">
      <c r="A858" s="1"/>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row>
    <row r="859">
      <c r="A859" s="1"/>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row>
    <row r="860">
      <c r="A860" s="1"/>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row>
    <row r="861">
      <c r="A861" s="1"/>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row>
    <row r="862">
      <c r="A862" s="1"/>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row>
    <row r="863">
      <c r="A863" s="1"/>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row>
    <row r="864">
      <c r="A864" s="1"/>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row>
    <row r="865">
      <c r="A865" s="1"/>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row>
    <row r="866">
      <c r="A866" s="1"/>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row>
    <row r="867">
      <c r="A867" s="1"/>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row>
    <row r="868">
      <c r="A868" s="1"/>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row>
    <row r="869">
      <c r="A869" s="1"/>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row>
    <row r="870">
      <c r="A870" s="1"/>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row>
    <row r="871">
      <c r="A871" s="1"/>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row>
    <row r="872">
      <c r="A872" s="1"/>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row>
    <row r="873">
      <c r="A873" s="1"/>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row>
    <row r="874">
      <c r="A874" s="1"/>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row>
    <row r="875">
      <c r="A875" s="1"/>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row>
    <row r="876">
      <c r="A876" s="1"/>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row>
    <row r="877">
      <c r="A877" s="1"/>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row>
    <row r="878">
      <c r="A878" s="1"/>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row>
    <row r="879">
      <c r="A879" s="1"/>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row>
    <row r="880">
      <c r="A880" s="1"/>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row>
    <row r="881">
      <c r="A881" s="1"/>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row>
    <row r="882">
      <c r="A882" s="1"/>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row>
    <row r="883">
      <c r="A883" s="1"/>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row>
    <row r="884">
      <c r="A884" s="1"/>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row>
    <row r="885">
      <c r="A885" s="1"/>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row>
    <row r="886">
      <c r="A886" s="1"/>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row>
    <row r="887">
      <c r="A887" s="1"/>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row>
    <row r="888">
      <c r="A888" s="1"/>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row>
    <row r="889">
      <c r="A889" s="1"/>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row>
    <row r="890">
      <c r="A890" s="1"/>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row>
    <row r="891">
      <c r="A891" s="1"/>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row>
    <row r="892">
      <c r="A892" s="1"/>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row>
    <row r="893">
      <c r="A893" s="1"/>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row>
    <row r="894">
      <c r="A894" s="1"/>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row>
    <row r="895">
      <c r="A895" s="1"/>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row>
    <row r="896">
      <c r="A896" s="1"/>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row>
    <row r="897">
      <c r="A897" s="1"/>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row>
    <row r="898">
      <c r="A898" s="1"/>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row>
    <row r="899">
      <c r="A899" s="1"/>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row>
    <row r="900">
      <c r="A900" s="1"/>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row>
    <row r="901">
      <c r="A901" s="1"/>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row>
    <row r="902">
      <c r="A902" s="1"/>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row>
    <row r="903">
      <c r="A903" s="1"/>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row>
    <row r="904">
      <c r="A904" s="1"/>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row>
    <row r="905">
      <c r="A905" s="1"/>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row>
    <row r="906">
      <c r="A906" s="1"/>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row>
    <row r="907">
      <c r="A907" s="1"/>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row>
    <row r="908">
      <c r="A908" s="1"/>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row>
    <row r="909">
      <c r="A909" s="1"/>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row>
    <row r="910">
      <c r="A910" s="1"/>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row>
    <row r="911">
      <c r="A911" s="1"/>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row>
    <row r="912">
      <c r="A912" s="1"/>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row>
    <row r="913">
      <c r="A913" s="1"/>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row>
    <row r="914">
      <c r="A914" s="1"/>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row>
    <row r="915">
      <c r="A915" s="1"/>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row>
    <row r="916">
      <c r="A916" s="1"/>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row>
    <row r="917">
      <c r="A917" s="1"/>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row>
    <row r="918">
      <c r="A918" s="1"/>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row>
    <row r="919">
      <c r="A919" s="1"/>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row>
    <row r="920">
      <c r="A920" s="1"/>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row>
    <row r="921">
      <c r="A921" s="1"/>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row>
    <row r="922">
      <c r="A922" s="1"/>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row>
    <row r="923">
      <c r="A923" s="1"/>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row>
    <row r="924">
      <c r="A924" s="1"/>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row>
    <row r="925">
      <c r="A925" s="1"/>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row>
    <row r="926">
      <c r="A926" s="1"/>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row>
    <row r="927">
      <c r="A927" s="1"/>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row>
    <row r="928">
      <c r="A928" s="1"/>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row>
    <row r="929">
      <c r="A929" s="1"/>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row>
    <row r="930">
      <c r="A930" s="1"/>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row>
    <row r="931">
      <c r="A931" s="1"/>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row>
    <row r="932">
      <c r="A932" s="1"/>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row>
  </sheetData>
  <dataValidations>
    <dataValidation type="list" allowBlank="1" sqref="B1:B932">
      <formula1>"show"</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1581</v>
      </c>
      <c r="B1" s="1"/>
      <c r="C1" s="1"/>
      <c r="D1" s="1"/>
      <c r="E1" s="1"/>
      <c r="F1" s="1"/>
      <c r="G1" s="1"/>
      <c r="H1" s="1"/>
      <c r="I1" s="1"/>
      <c r="J1" s="1"/>
      <c r="K1" s="1"/>
      <c r="L1" s="1"/>
      <c r="M1" s="1"/>
      <c r="N1" s="1"/>
      <c r="O1" s="1"/>
      <c r="P1" s="1"/>
      <c r="Q1" s="1"/>
      <c r="R1" s="1"/>
      <c r="S1" s="1"/>
      <c r="T1" s="1"/>
      <c r="U1" s="1"/>
      <c r="V1" s="1"/>
      <c r="W1" s="1"/>
      <c r="X1" s="1"/>
      <c r="Y1" s="1"/>
    </row>
    <row r="2">
      <c r="A2" s="1" t="s">
        <v>1582</v>
      </c>
      <c r="B2" s="44" t="b">
        <v>0</v>
      </c>
      <c r="D2" s="44"/>
      <c r="E2" s="94"/>
      <c r="F2" s="94"/>
      <c r="G2" s="94"/>
      <c r="H2" s="94"/>
      <c r="I2" s="94"/>
      <c r="J2" s="94"/>
      <c r="K2" s="94"/>
      <c r="L2" s="94"/>
      <c r="M2" s="94"/>
      <c r="N2" s="94"/>
      <c r="O2" s="94"/>
      <c r="P2" s="94"/>
      <c r="Q2" s="94"/>
      <c r="R2" s="94"/>
      <c r="S2" s="94"/>
      <c r="T2" s="94"/>
      <c r="U2" s="94"/>
      <c r="V2" s="94"/>
      <c r="W2" s="94"/>
      <c r="X2" s="94"/>
      <c r="Y2" s="94"/>
    </row>
    <row r="3">
      <c r="A3" s="1"/>
      <c r="B3" s="44"/>
      <c r="D3" s="44"/>
      <c r="E3" s="94"/>
      <c r="F3" s="94"/>
      <c r="G3" s="94"/>
      <c r="H3" s="94"/>
      <c r="I3" s="94"/>
      <c r="J3" s="94"/>
      <c r="K3" s="94"/>
      <c r="L3" s="94"/>
      <c r="M3" s="94"/>
      <c r="N3" s="94"/>
      <c r="O3" s="94"/>
      <c r="P3" s="94"/>
      <c r="Q3" s="94"/>
      <c r="R3" s="94"/>
      <c r="S3" s="94"/>
      <c r="T3" s="94"/>
      <c r="U3" s="94"/>
      <c r="V3" s="94"/>
      <c r="W3" s="94"/>
      <c r="X3" s="94"/>
      <c r="Y3" s="94"/>
    </row>
    <row r="4">
      <c r="A4" s="1"/>
      <c r="B4" s="44"/>
      <c r="D4" s="44"/>
      <c r="E4" s="94"/>
      <c r="F4" s="94"/>
      <c r="G4" s="94"/>
      <c r="H4" s="94"/>
      <c r="I4" s="94"/>
      <c r="J4" s="94"/>
      <c r="K4" s="94"/>
      <c r="L4" s="94"/>
      <c r="M4" s="94"/>
      <c r="N4" s="94"/>
      <c r="O4" s="94"/>
      <c r="P4" s="94"/>
      <c r="Q4" s="94"/>
      <c r="R4" s="94"/>
      <c r="S4" s="94"/>
      <c r="T4" s="94"/>
      <c r="U4" s="94"/>
      <c r="V4" s="94"/>
      <c r="W4" s="94"/>
      <c r="X4" s="94"/>
      <c r="Y4" s="94"/>
    </row>
    <row r="5">
      <c r="A5" s="1"/>
      <c r="B5" s="44"/>
      <c r="D5" s="44"/>
      <c r="E5" s="94"/>
      <c r="F5" s="94"/>
      <c r="G5" s="94"/>
      <c r="H5" s="94"/>
      <c r="I5" s="94"/>
      <c r="J5" s="94"/>
      <c r="K5" s="94"/>
      <c r="L5" s="94"/>
      <c r="M5" s="94"/>
      <c r="N5" s="94"/>
      <c r="O5" s="94"/>
      <c r="P5" s="94"/>
      <c r="Q5" s="94"/>
      <c r="R5" s="94"/>
      <c r="S5" s="94"/>
      <c r="T5" s="94"/>
      <c r="U5" s="94"/>
      <c r="V5" s="94"/>
      <c r="W5" s="94"/>
      <c r="X5" s="94"/>
      <c r="Y5" s="94"/>
    </row>
    <row r="6">
      <c r="A6" s="1"/>
      <c r="B6" s="44"/>
      <c r="D6" s="44"/>
      <c r="E6" s="94"/>
      <c r="F6" s="94"/>
      <c r="G6" s="94"/>
      <c r="H6" s="94"/>
      <c r="I6" s="94"/>
      <c r="J6" s="94"/>
      <c r="K6" s="94"/>
      <c r="L6" s="94"/>
      <c r="M6" s="94"/>
      <c r="N6" s="94"/>
      <c r="O6" s="94"/>
      <c r="P6" s="94"/>
      <c r="Q6" s="94"/>
      <c r="R6" s="94"/>
      <c r="S6" s="94"/>
      <c r="T6" s="94"/>
      <c r="U6" s="94"/>
      <c r="V6" s="94"/>
      <c r="W6" s="94"/>
      <c r="X6" s="94"/>
      <c r="Y6" s="94"/>
    </row>
    <row r="7">
      <c r="A7" s="1"/>
      <c r="B7" s="44"/>
      <c r="D7" s="44"/>
      <c r="E7" s="94"/>
      <c r="F7" s="94"/>
      <c r="G7" s="94"/>
      <c r="H7" s="94"/>
      <c r="I7" s="94"/>
      <c r="J7" s="94"/>
      <c r="K7" s="94"/>
      <c r="L7" s="94"/>
      <c r="M7" s="94"/>
      <c r="N7" s="94"/>
      <c r="O7" s="94"/>
      <c r="P7" s="94"/>
      <c r="Q7" s="94"/>
      <c r="R7" s="94"/>
      <c r="S7" s="94"/>
      <c r="T7" s="94"/>
      <c r="U7" s="94"/>
      <c r="V7" s="94"/>
      <c r="W7" s="94"/>
      <c r="X7" s="94"/>
      <c r="Y7" s="94"/>
    </row>
    <row r="8">
      <c r="A8" s="1"/>
      <c r="B8" s="44"/>
      <c r="D8" s="44"/>
      <c r="E8" s="94"/>
      <c r="F8" s="94"/>
      <c r="G8" s="94"/>
      <c r="H8" s="94"/>
      <c r="I8" s="94"/>
      <c r="J8" s="94"/>
      <c r="K8" s="94"/>
      <c r="L8" s="94"/>
      <c r="M8" s="94"/>
      <c r="N8" s="94"/>
      <c r="O8" s="94"/>
      <c r="P8" s="94"/>
      <c r="Q8" s="94"/>
      <c r="R8" s="94"/>
      <c r="S8" s="94"/>
      <c r="T8" s="94"/>
      <c r="U8" s="94"/>
      <c r="V8" s="94"/>
      <c r="W8" s="94"/>
      <c r="X8" s="94"/>
      <c r="Y8" s="94"/>
    </row>
    <row r="9">
      <c r="A9" s="1"/>
      <c r="B9" s="44"/>
      <c r="D9" s="44"/>
      <c r="E9" s="94"/>
      <c r="F9" s="94"/>
      <c r="G9" s="94"/>
      <c r="H9" s="94"/>
      <c r="I9" s="94"/>
      <c r="J9" s="94"/>
      <c r="K9" s="94"/>
      <c r="L9" s="94"/>
      <c r="M9" s="94"/>
      <c r="N9" s="94"/>
      <c r="O9" s="94"/>
      <c r="P9" s="94"/>
      <c r="Q9" s="94"/>
      <c r="R9" s="94"/>
      <c r="S9" s="94"/>
      <c r="T9" s="94"/>
      <c r="U9" s="94"/>
      <c r="V9" s="94"/>
      <c r="W9" s="94"/>
      <c r="X9" s="94"/>
      <c r="Y9" s="94"/>
    </row>
    <row r="10">
      <c r="A10" s="1"/>
      <c r="B10" s="44"/>
      <c r="D10" s="44"/>
      <c r="E10" s="94"/>
      <c r="F10" s="94"/>
      <c r="G10" s="94"/>
      <c r="H10" s="94"/>
      <c r="I10" s="94"/>
      <c r="J10" s="94"/>
      <c r="K10" s="94"/>
      <c r="L10" s="94"/>
      <c r="M10" s="94"/>
      <c r="N10" s="94"/>
      <c r="O10" s="94"/>
      <c r="P10" s="94"/>
      <c r="Q10" s="94"/>
      <c r="R10" s="94"/>
      <c r="S10" s="94"/>
      <c r="T10" s="94"/>
      <c r="U10" s="94"/>
      <c r="V10" s="94"/>
      <c r="W10" s="94"/>
      <c r="X10" s="94"/>
      <c r="Y10" s="94"/>
    </row>
    <row r="11">
      <c r="A11" s="1"/>
      <c r="B11" s="44"/>
      <c r="D11" s="44"/>
      <c r="E11" s="94"/>
      <c r="F11" s="94"/>
      <c r="G11" s="94"/>
      <c r="H11" s="94"/>
      <c r="I11" s="94"/>
      <c r="J11" s="94"/>
      <c r="K11" s="94"/>
      <c r="L11" s="94"/>
      <c r="M11" s="94"/>
      <c r="N11" s="94"/>
      <c r="O11" s="94"/>
      <c r="P11" s="94"/>
      <c r="Q11" s="94"/>
      <c r="R11" s="94"/>
      <c r="S11" s="94"/>
      <c r="T11" s="94"/>
      <c r="U11" s="94"/>
      <c r="V11" s="94"/>
      <c r="W11" s="94"/>
      <c r="X11" s="94"/>
      <c r="Y11" s="94"/>
    </row>
    <row r="12">
      <c r="A12" s="1"/>
      <c r="B12" s="44"/>
      <c r="D12" s="44"/>
      <c r="E12" s="94"/>
      <c r="F12" s="94"/>
      <c r="G12" s="94"/>
      <c r="H12" s="94"/>
      <c r="I12" s="94"/>
      <c r="J12" s="94"/>
      <c r="K12" s="94"/>
      <c r="L12" s="94"/>
      <c r="M12" s="94"/>
      <c r="N12" s="94"/>
      <c r="O12" s="94"/>
      <c r="P12" s="94"/>
      <c r="Q12" s="94"/>
      <c r="R12" s="94"/>
      <c r="S12" s="94"/>
      <c r="T12" s="94"/>
      <c r="U12" s="94"/>
      <c r="V12" s="94"/>
      <c r="W12" s="94"/>
      <c r="X12" s="94"/>
      <c r="Y12" s="94"/>
    </row>
    <row r="13">
      <c r="A13" s="1"/>
      <c r="B13" s="44"/>
      <c r="D13" s="44"/>
      <c r="E13" s="94"/>
      <c r="F13" s="94"/>
      <c r="G13" s="94"/>
      <c r="H13" s="94"/>
      <c r="I13" s="94"/>
      <c r="J13" s="94"/>
      <c r="K13" s="94"/>
      <c r="L13" s="94"/>
      <c r="M13" s="94"/>
      <c r="N13" s="94"/>
      <c r="O13" s="94"/>
      <c r="P13" s="94"/>
      <c r="Q13" s="94"/>
      <c r="R13" s="94"/>
      <c r="S13" s="94"/>
      <c r="T13" s="94"/>
      <c r="U13" s="94"/>
      <c r="V13" s="94"/>
      <c r="W13" s="94"/>
      <c r="X13" s="94"/>
      <c r="Y13" s="94"/>
    </row>
    <row r="14">
      <c r="A14" s="1"/>
      <c r="B14" s="44"/>
      <c r="D14" s="44"/>
      <c r="E14" s="94"/>
      <c r="F14" s="94"/>
      <c r="G14" s="94"/>
      <c r="H14" s="94"/>
      <c r="I14" s="94"/>
      <c r="J14" s="94"/>
      <c r="K14" s="94"/>
      <c r="L14" s="94"/>
      <c r="M14" s="94"/>
      <c r="N14" s="94"/>
      <c r="O14" s="94"/>
      <c r="P14" s="94"/>
      <c r="Q14" s="94"/>
      <c r="R14" s="94"/>
      <c r="S14" s="94"/>
      <c r="T14" s="94"/>
      <c r="U14" s="94"/>
      <c r="V14" s="94"/>
      <c r="W14" s="94"/>
      <c r="X14" s="94"/>
      <c r="Y14" s="94"/>
    </row>
    <row r="15">
      <c r="A15" s="1"/>
      <c r="B15" s="44"/>
      <c r="D15" s="44"/>
      <c r="E15" s="94"/>
      <c r="F15" s="94"/>
      <c r="G15" s="94"/>
      <c r="H15" s="94"/>
      <c r="I15" s="94"/>
      <c r="J15" s="94"/>
      <c r="K15" s="94"/>
      <c r="L15" s="94"/>
      <c r="M15" s="94"/>
      <c r="N15" s="94"/>
      <c r="O15" s="94"/>
      <c r="P15" s="94"/>
      <c r="Q15" s="94"/>
      <c r="R15" s="94"/>
      <c r="S15" s="94"/>
      <c r="T15" s="94"/>
      <c r="U15" s="94"/>
      <c r="V15" s="94"/>
      <c r="W15" s="94"/>
      <c r="X15" s="94"/>
      <c r="Y15" s="94"/>
    </row>
    <row r="16">
      <c r="A16" s="1"/>
      <c r="B16" s="44"/>
      <c r="D16" s="44"/>
      <c r="E16" s="94"/>
      <c r="F16" s="94"/>
      <c r="G16" s="94"/>
      <c r="H16" s="94"/>
      <c r="I16" s="94"/>
      <c r="J16" s="94"/>
      <c r="K16" s="94"/>
      <c r="L16" s="94"/>
      <c r="M16" s="94"/>
      <c r="N16" s="94"/>
      <c r="O16" s="94"/>
      <c r="P16" s="94"/>
      <c r="Q16" s="94"/>
      <c r="R16" s="94"/>
      <c r="S16" s="94"/>
      <c r="T16" s="94"/>
      <c r="U16" s="94"/>
      <c r="V16" s="94"/>
      <c r="W16" s="94"/>
      <c r="X16" s="94"/>
      <c r="Y16" s="94"/>
    </row>
    <row r="17">
      <c r="A17" s="1"/>
      <c r="B17" s="44"/>
      <c r="D17" s="44"/>
      <c r="E17" s="94"/>
      <c r="F17" s="94"/>
      <c r="G17" s="94"/>
      <c r="H17" s="94"/>
      <c r="I17" s="94"/>
      <c r="J17" s="94"/>
      <c r="K17" s="94"/>
      <c r="L17" s="94"/>
      <c r="M17" s="94"/>
      <c r="N17" s="94"/>
      <c r="O17" s="94"/>
      <c r="P17" s="94"/>
      <c r="Q17" s="94"/>
      <c r="R17" s="94"/>
      <c r="S17" s="94"/>
      <c r="T17" s="94"/>
      <c r="U17" s="94"/>
      <c r="V17" s="94"/>
      <c r="W17" s="94"/>
      <c r="X17" s="94"/>
      <c r="Y17" s="94"/>
    </row>
    <row r="18">
      <c r="A18" s="1"/>
      <c r="B18" s="44"/>
      <c r="D18" s="44"/>
      <c r="E18" s="94"/>
      <c r="F18" s="94"/>
      <c r="G18" s="94"/>
      <c r="H18" s="94"/>
      <c r="I18" s="94"/>
      <c r="J18" s="94"/>
      <c r="K18" s="94"/>
      <c r="L18" s="94"/>
      <c r="M18" s="94"/>
      <c r="N18" s="94"/>
      <c r="O18" s="94"/>
      <c r="P18" s="94"/>
      <c r="Q18" s="94"/>
      <c r="R18" s="94"/>
      <c r="S18" s="94"/>
      <c r="T18" s="94"/>
      <c r="U18" s="94"/>
      <c r="V18" s="94"/>
      <c r="W18" s="94"/>
      <c r="X18" s="94"/>
      <c r="Y18" s="94"/>
    </row>
    <row r="19">
      <c r="A19" s="1"/>
      <c r="B19" s="44"/>
      <c r="D19" s="44"/>
      <c r="E19" s="94"/>
      <c r="F19" s="94"/>
      <c r="G19" s="94"/>
      <c r="H19" s="94"/>
      <c r="I19" s="94"/>
      <c r="J19" s="94"/>
      <c r="K19" s="94"/>
      <c r="L19" s="94"/>
      <c r="M19" s="94"/>
      <c r="N19" s="94"/>
      <c r="O19" s="94"/>
      <c r="P19" s="94"/>
      <c r="Q19" s="94"/>
      <c r="R19" s="94"/>
      <c r="S19" s="94"/>
      <c r="T19" s="94"/>
      <c r="U19" s="94"/>
      <c r="V19" s="94"/>
      <c r="W19" s="94"/>
      <c r="X19" s="94"/>
      <c r="Y19" s="94"/>
    </row>
    <row r="20">
      <c r="A20" s="1"/>
      <c r="B20" s="44"/>
      <c r="D20" s="44"/>
      <c r="E20" s="94"/>
      <c r="F20" s="94"/>
      <c r="G20" s="94"/>
      <c r="H20" s="94"/>
      <c r="I20" s="94"/>
      <c r="J20" s="94"/>
      <c r="K20" s="94"/>
      <c r="L20" s="94"/>
      <c r="M20" s="94"/>
      <c r="N20" s="94"/>
      <c r="O20" s="94"/>
      <c r="P20" s="94"/>
      <c r="Q20" s="94"/>
      <c r="R20" s="94"/>
      <c r="S20" s="94"/>
      <c r="T20" s="94"/>
      <c r="U20" s="94"/>
      <c r="V20" s="94"/>
      <c r="W20" s="94"/>
      <c r="X20" s="94"/>
      <c r="Y20" s="94"/>
    </row>
    <row r="21">
      <c r="A21" s="1"/>
      <c r="B21" s="44"/>
      <c r="D21" s="44"/>
      <c r="E21" s="94"/>
      <c r="F21" s="94"/>
      <c r="G21" s="94"/>
      <c r="H21" s="94"/>
      <c r="I21" s="94"/>
      <c r="J21" s="94"/>
      <c r="K21" s="94"/>
      <c r="L21" s="94"/>
      <c r="M21" s="94"/>
      <c r="N21" s="94"/>
      <c r="O21" s="94"/>
      <c r="P21" s="94"/>
      <c r="Q21" s="94"/>
      <c r="R21" s="94"/>
      <c r="S21" s="94"/>
      <c r="T21" s="94"/>
      <c r="U21" s="94"/>
      <c r="V21" s="94"/>
      <c r="W21" s="94"/>
      <c r="X21" s="94"/>
      <c r="Y21" s="94"/>
    </row>
    <row r="22">
      <c r="A22" s="1"/>
      <c r="B22" s="44"/>
      <c r="D22" s="44"/>
      <c r="E22" s="94"/>
      <c r="F22" s="94"/>
      <c r="G22" s="94"/>
      <c r="H22" s="94"/>
      <c r="I22" s="94"/>
      <c r="J22" s="94"/>
      <c r="K22" s="94"/>
      <c r="L22" s="94"/>
      <c r="M22" s="94"/>
      <c r="N22" s="94"/>
      <c r="O22" s="94"/>
      <c r="P22" s="94"/>
      <c r="Q22" s="94"/>
      <c r="R22" s="94"/>
      <c r="S22" s="94"/>
      <c r="T22" s="94"/>
      <c r="U22" s="94"/>
      <c r="V22" s="94"/>
      <c r="W22" s="94"/>
      <c r="X22" s="94"/>
      <c r="Y22" s="94"/>
    </row>
    <row r="23">
      <c r="A23" s="1"/>
      <c r="B23" s="44"/>
      <c r="D23" s="44"/>
      <c r="E23" s="94"/>
      <c r="F23" s="94"/>
      <c r="G23" s="94"/>
      <c r="H23" s="94"/>
      <c r="I23" s="94"/>
      <c r="J23" s="94"/>
      <c r="K23" s="94"/>
      <c r="L23" s="94"/>
      <c r="M23" s="94"/>
      <c r="N23" s="94"/>
      <c r="O23" s="94"/>
      <c r="P23" s="94"/>
      <c r="Q23" s="94"/>
      <c r="R23" s="94"/>
      <c r="S23" s="94"/>
      <c r="T23" s="94"/>
      <c r="U23" s="94"/>
      <c r="V23" s="94"/>
      <c r="W23" s="94"/>
      <c r="X23" s="94"/>
      <c r="Y23" s="94"/>
    </row>
    <row r="24">
      <c r="A24" s="1"/>
      <c r="B24" s="44"/>
      <c r="D24" s="44"/>
      <c r="E24" s="94"/>
      <c r="F24" s="94"/>
      <c r="G24" s="94"/>
      <c r="H24" s="94"/>
      <c r="I24" s="94"/>
      <c r="J24" s="94"/>
      <c r="K24" s="94"/>
      <c r="L24" s="94"/>
      <c r="M24" s="94"/>
      <c r="N24" s="94"/>
      <c r="O24" s="94"/>
      <c r="P24" s="94"/>
      <c r="Q24" s="94"/>
      <c r="R24" s="94"/>
      <c r="S24" s="94"/>
      <c r="T24" s="94"/>
      <c r="U24" s="94"/>
      <c r="V24" s="94"/>
      <c r="W24" s="94"/>
      <c r="X24" s="94"/>
      <c r="Y24" s="94"/>
    </row>
    <row r="25">
      <c r="A25" s="1"/>
      <c r="B25" s="44"/>
      <c r="D25" s="44"/>
      <c r="E25" s="94"/>
      <c r="F25" s="94"/>
      <c r="G25" s="94"/>
      <c r="H25" s="94"/>
      <c r="I25" s="94"/>
      <c r="J25" s="94"/>
      <c r="K25" s="94"/>
      <c r="L25" s="94"/>
      <c r="M25" s="94"/>
      <c r="N25" s="94"/>
      <c r="O25" s="94"/>
      <c r="P25" s="94"/>
      <c r="Q25" s="94"/>
      <c r="R25" s="94"/>
      <c r="S25" s="94"/>
      <c r="T25" s="94"/>
      <c r="U25" s="94"/>
      <c r="V25" s="94"/>
      <c r="W25" s="94"/>
      <c r="X25" s="94"/>
      <c r="Y25" s="94"/>
    </row>
    <row r="26">
      <c r="A26" s="1"/>
      <c r="B26" s="44"/>
      <c r="D26" s="44"/>
      <c r="E26" s="94"/>
      <c r="F26" s="94"/>
      <c r="G26" s="94"/>
      <c r="H26" s="94"/>
      <c r="I26" s="94"/>
      <c r="J26" s="94"/>
      <c r="K26" s="94"/>
      <c r="L26" s="94"/>
      <c r="M26" s="94"/>
      <c r="N26" s="94"/>
      <c r="O26" s="94"/>
      <c r="P26" s="94"/>
      <c r="Q26" s="94"/>
      <c r="R26" s="94"/>
      <c r="S26" s="94"/>
      <c r="T26" s="94"/>
      <c r="U26" s="94"/>
      <c r="V26" s="94"/>
      <c r="W26" s="94"/>
      <c r="X26" s="94"/>
      <c r="Y26" s="94"/>
    </row>
    <row r="27">
      <c r="A27" s="1"/>
      <c r="B27" s="44"/>
      <c r="D27" s="44"/>
      <c r="E27" s="94"/>
      <c r="F27" s="94"/>
      <c r="G27" s="94"/>
      <c r="H27" s="94"/>
      <c r="I27" s="94"/>
      <c r="J27" s="94"/>
      <c r="K27" s="94"/>
      <c r="L27" s="94"/>
      <c r="M27" s="94"/>
      <c r="N27" s="94"/>
      <c r="O27" s="94"/>
      <c r="P27" s="94"/>
      <c r="Q27" s="94"/>
      <c r="R27" s="94"/>
      <c r="S27" s="94"/>
      <c r="T27" s="94"/>
      <c r="U27" s="94"/>
      <c r="V27" s="94"/>
      <c r="W27" s="94"/>
      <c r="X27" s="94"/>
      <c r="Y27" s="94"/>
    </row>
    <row r="28">
      <c r="A28" s="1"/>
      <c r="B28" s="44"/>
      <c r="D28" s="44"/>
      <c r="E28" s="94"/>
      <c r="F28" s="94"/>
      <c r="G28" s="94"/>
      <c r="H28" s="94"/>
      <c r="I28" s="94"/>
      <c r="J28" s="94"/>
      <c r="K28" s="94"/>
      <c r="L28" s="94"/>
      <c r="M28" s="94"/>
      <c r="N28" s="94"/>
      <c r="O28" s="94"/>
      <c r="P28" s="94"/>
      <c r="Q28" s="94"/>
      <c r="R28" s="94"/>
      <c r="S28" s="94"/>
      <c r="T28" s="94"/>
      <c r="U28" s="94"/>
      <c r="V28" s="94"/>
      <c r="W28" s="94"/>
      <c r="X28" s="94"/>
      <c r="Y28" s="94"/>
    </row>
    <row r="29">
      <c r="A29" s="1"/>
      <c r="B29" s="44"/>
      <c r="D29" s="44"/>
      <c r="E29" s="94"/>
      <c r="F29" s="94"/>
      <c r="G29" s="94"/>
      <c r="H29" s="94"/>
      <c r="I29" s="94"/>
      <c r="J29" s="94"/>
      <c r="K29" s="94"/>
      <c r="L29" s="94"/>
      <c r="M29" s="94"/>
      <c r="N29" s="94"/>
      <c r="O29" s="94"/>
      <c r="P29" s="94"/>
      <c r="Q29" s="94"/>
      <c r="R29" s="94"/>
      <c r="S29" s="94"/>
      <c r="T29" s="94"/>
      <c r="U29" s="94"/>
      <c r="V29" s="94"/>
      <c r="W29" s="94"/>
      <c r="X29" s="94"/>
      <c r="Y29" s="94"/>
    </row>
    <row r="30">
      <c r="A30" s="1"/>
      <c r="B30" s="44"/>
      <c r="D30" s="44"/>
      <c r="E30" s="94"/>
      <c r="F30" s="94"/>
      <c r="G30" s="94"/>
      <c r="H30" s="94"/>
      <c r="I30" s="94"/>
      <c r="J30" s="94"/>
      <c r="K30" s="94"/>
      <c r="L30" s="94"/>
      <c r="M30" s="94"/>
      <c r="N30" s="94"/>
      <c r="O30" s="94"/>
      <c r="P30" s="94"/>
      <c r="Q30" s="94"/>
      <c r="R30" s="94"/>
      <c r="S30" s="94"/>
      <c r="T30" s="94"/>
      <c r="U30" s="94"/>
      <c r="V30" s="94"/>
      <c r="W30" s="94"/>
      <c r="X30" s="94"/>
      <c r="Y30" s="94"/>
    </row>
    <row r="31">
      <c r="A31" s="1"/>
      <c r="B31" s="44"/>
      <c r="D31" s="44"/>
      <c r="E31" s="94"/>
      <c r="F31" s="94"/>
      <c r="G31" s="94"/>
      <c r="H31" s="94"/>
      <c r="I31" s="94"/>
      <c r="J31" s="94"/>
      <c r="K31" s="94"/>
      <c r="L31" s="94"/>
      <c r="M31" s="94"/>
      <c r="N31" s="94"/>
      <c r="O31" s="94"/>
      <c r="P31" s="94"/>
      <c r="Q31" s="94"/>
      <c r="R31" s="94"/>
      <c r="S31" s="94"/>
      <c r="T31" s="94"/>
      <c r="U31" s="94"/>
      <c r="V31" s="94"/>
      <c r="W31" s="94"/>
      <c r="X31" s="94"/>
      <c r="Y31" s="94"/>
    </row>
    <row r="32">
      <c r="A32" s="1"/>
      <c r="B32" s="44"/>
      <c r="D32" s="44"/>
      <c r="E32" s="94"/>
      <c r="F32" s="94"/>
      <c r="G32" s="94"/>
      <c r="H32" s="94"/>
      <c r="I32" s="94"/>
      <c r="J32" s="94"/>
      <c r="K32" s="94"/>
      <c r="L32" s="94"/>
      <c r="M32" s="94"/>
      <c r="N32" s="94"/>
      <c r="O32" s="94"/>
      <c r="P32" s="94"/>
      <c r="Q32" s="94"/>
      <c r="R32" s="94"/>
      <c r="S32" s="94"/>
      <c r="T32" s="94"/>
      <c r="U32" s="94"/>
      <c r="V32" s="94"/>
      <c r="W32" s="94"/>
      <c r="X32" s="94"/>
      <c r="Y32" s="94"/>
    </row>
    <row r="33">
      <c r="A33" s="1"/>
      <c r="B33" s="44"/>
      <c r="D33" s="44"/>
      <c r="E33" s="94"/>
      <c r="F33" s="94"/>
      <c r="G33" s="94"/>
      <c r="H33" s="94"/>
      <c r="I33" s="94"/>
      <c r="J33" s="94"/>
      <c r="K33" s="94"/>
      <c r="L33" s="94"/>
      <c r="M33" s="94"/>
      <c r="N33" s="94"/>
      <c r="O33" s="94"/>
      <c r="P33" s="94"/>
      <c r="Q33" s="94"/>
      <c r="R33" s="94"/>
      <c r="S33" s="94"/>
      <c r="T33" s="94"/>
      <c r="U33" s="94"/>
      <c r="V33" s="94"/>
      <c r="W33" s="94"/>
      <c r="X33" s="94"/>
      <c r="Y33" s="94"/>
    </row>
    <row r="34">
      <c r="A34" s="1"/>
      <c r="B34" s="44"/>
      <c r="D34" s="44"/>
      <c r="E34" s="94"/>
      <c r="F34" s="94"/>
      <c r="G34" s="94"/>
      <c r="H34" s="94"/>
      <c r="I34" s="94"/>
      <c r="J34" s="94"/>
      <c r="K34" s="94"/>
      <c r="L34" s="94"/>
      <c r="M34" s="94"/>
      <c r="N34" s="94"/>
      <c r="O34" s="94"/>
      <c r="P34" s="94"/>
      <c r="Q34" s="94"/>
      <c r="R34" s="94"/>
      <c r="S34" s="94"/>
      <c r="T34" s="94"/>
      <c r="U34" s="94"/>
      <c r="V34" s="94"/>
      <c r="W34" s="94"/>
      <c r="X34" s="94"/>
      <c r="Y34" s="94"/>
    </row>
    <row r="35">
      <c r="A35" s="1"/>
      <c r="B35" s="44"/>
      <c r="D35" s="44"/>
      <c r="E35" s="94"/>
      <c r="F35" s="94"/>
      <c r="G35" s="94"/>
      <c r="H35" s="94"/>
      <c r="I35" s="94"/>
      <c r="J35" s="94"/>
      <c r="K35" s="94"/>
      <c r="L35" s="94"/>
      <c r="M35" s="94"/>
      <c r="N35" s="94"/>
      <c r="O35" s="94"/>
      <c r="P35" s="94"/>
      <c r="Q35" s="94"/>
      <c r="R35" s="94"/>
      <c r="S35" s="94"/>
      <c r="T35" s="94"/>
      <c r="U35" s="94"/>
      <c r="V35" s="94"/>
      <c r="W35" s="94"/>
      <c r="X35" s="94"/>
      <c r="Y35" s="94"/>
    </row>
    <row r="36">
      <c r="A36" s="1"/>
      <c r="B36" s="44"/>
      <c r="D36" s="44"/>
      <c r="E36" s="94"/>
      <c r="F36" s="94"/>
      <c r="G36" s="94"/>
      <c r="H36" s="94"/>
      <c r="I36" s="94"/>
      <c r="J36" s="94"/>
      <c r="K36" s="94"/>
      <c r="L36" s="94"/>
      <c r="M36" s="94"/>
      <c r="N36" s="94"/>
      <c r="O36" s="94"/>
      <c r="P36" s="94"/>
      <c r="Q36" s="94"/>
      <c r="R36" s="94"/>
      <c r="S36" s="94"/>
      <c r="T36" s="94"/>
      <c r="U36" s="94"/>
      <c r="V36" s="94"/>
      <c r="W36" s="94"/>
      <c r="X36" s="94"/>
      <c r="Y36" s="94"/>
    </row>
    <row r="37">
      <c r="A37" s="1"/>
      <c r="B37" s="44"/>
      <c r="D37" s="44"/>
      <c r="E37" s="94"/>
      <c r="F37" s="94"/>
      <c r="G37" s="94"/>
      <c r="H37" s="94"/>
      <c r="I37" s="94"/>
      <c r="J37" s="94"/>
      <c r="K37" s="94"/>
      <c r="L37" s="94"/>
      <c r="M37" s="94"/>
      <c r="N37" s="94"/>
      <c r="O37" s="94"/>
      <c r="P37" s="94"/>
      <c r="Q37" s="94"/>
      <c r="R37" s="94"/>
      <c r="S37" s="94"/>
      <c r="T37" s="94"/>
      <c r="U37" s="94"/>
      <c r="V37" s="94"/>
      <c r="W37" s="94"/>
      <c r="X37" s="94"/>
      <c r="Y37" s="94"/>
    </row>
    <row r="38">
      <c r="A38" s="1"/>
      <c r="B38" s="44"/>
      <c r="D38" s="44"/>
      <c r="E38" s="94"/>
      <c r="F38" s="94"/>
      <c r="G38" s="94"/>
      <c r="H38" s="94"/>
      <c r="I38" s="94"/>
      <c r="J38" s="94"/>
      <c r="K38" s="94"/>
      <c r="L38" s="94"/>
      <c r="M38" s="94"/>
      <c r="N38" s="94"/>
      <c r="O38" s="94"/>
      <c r="P38" s="94"/>
      <c r="Q38" s="94"/>
      <c r="R38" s="94"/>
      <c r="S38" s="94"/>
      <c r="T38" s="94"/>
      <c r="U38" s="94"/>
      <c r="V38" s="94"/>
      <c r="W38" s="94"/>
      <c r="X38" s="94"/>
      <c r="Y38" s="94"/>
    </row>
    <row r="39">
      <c r="A39" s="1"/>
      <c r="B39" s="44"/>
      <c r="D39" s="44"/>
      <c r="E39" s="94"/>
      <c r="F39" s="94"/>
      <c r="G39" s="94"/>
      <c r="H39" s="94"/>
      <c r="I39" s="94"/>
      <c r="J39" s="94"/>
      <c r="K39" s="94"/>
      <c r="L39" s="94"/>
      <c r="M39" s="94"/>
      <c r="N39" s="94"/>
      <c r="O39" s="94"/>
      <c r="P39" s="94"/>
      <c r="Q39" s="94"/>
      <c r="R39" s="94"/>
      <c r="S39" s="94"/>
      <c r="T39" s="94"/>
      <c r="U39" s="94"/>
      <c r="V39" s="94"/>
      <c r="W39" s="94"/>
      <c r="X39" s="94"/>
      <c r="Y39" s="94"/>
    </row>
    <row r="40">
      <c r="A40" s="1"/>
      <c r="B40" s="44"/>
      <c r="D40" s="44"/>
      <c r="E40" s="94"/>
      <c r="F40" s="94"/>
      <c r="G40" s="94"/>
      <c r="H40" s="94"/>
      <c r="I40" s="94"/>
      <c r="J40" s="94"/>
      <c r="K40" s="94"/>
      <c r="L40" s="94"/>
      <c r="M40" s="94"/>
      <c r="N40" s="94"/>
      <c r="O40" s="94"/>
      <c r="P40" s="94"/>
      <c r="Q40" s="94"/>
      <c r="R40" s="94"/>
      <c r="S40" s="94"/>
      <c r="T40" s="94"/>
      <c r="U40" s="94"/>
      <c r="V40" s="94"/>
      <c r="W40" s="94"/>
      <c r="X40" s="94"/>
      <c r="Y40" s="94"/>
    </row>
    <row r="41">
      <c r="A41" s="1"/>
      <c r="B41" s="44"/>
      <c r="D41" s="44"/>
      <c r="E41" s="94"/>
      <c r="F41" s="94"/>
      <c r="G41" s="94"/>
      <c r="H41" s="94"/>
      <c r="I41" s="94"/>
      <c r="J41" s="94"/>
      <c r="K41" s="94"/>
      <c r="L41" s="94"/>
      <c r="M41" s="94"/>
      <c r="N41" s="94"/>
      <c r="O41" s="94"/>
      <c r="P41" s="94"/>
      <c r="Q41" s="94"/>
      <c r="R41" s="94"/>
      <c r="S41" s="94"/>
      <c r="T41" s="94"/>
      <c r="U41" s="94"/>
      <c r="V41" s="94"/>
      <c r="W41" s="94"/>
      <c r="X41" s="94"/>
      <c r="Y41" s="94"/>
    </row>
    <row r="42">
      <c r="A42" s="1"/>
      <c r="B42" s="44"/>
      <c r="D42" s="44"/>
      <c r="E42" s="94"/>
      <c r="F42" s="94"/>
      <c r="G42" s="94"/>
      <c r="H42" s="94"/>
      <c r="I42" s="94"/>
      <c r="J42" s="94"/>
      <c r="K42" s="94"/>
      <c r="L42" s="94"/>
      <c r="M42" s="94"/>
      <c r="N42" s="94"/>
      <c r="O42" s="94"/>
      <c r="P42" s="94"/>
      <c r="Q42" s="94"/>
      <c r="R42" s="94"/>
      <c r="S42" s="94"/>
      <c r="T42" s="94"/>
      <c r="U42" s="94"/>
      <c r="V42" s="94"/>
      <c r="W42" s="94"/>
      <c r="X42" s="94"/>
      <c r="Y42" s="94"/>
    </row>
    <row r="43">
      <c r="A43" s="1"/>
      <c r="B43" s="44"/>
      <c r="D43" s="44"/>
      <c r="E43" s="94"/>
      <c r="F43" s="94"/>
      <c r="G43" s="94"/>
      <c r="H43" s="94"/>
      <c r="I43" s="94"/>
      <c r="J43" s="94"/>
      <c r="K43" s="94"/>
      <c r="L43" s="94"/>
      <c r="M43" s="94"/>
      <c r="N43" s="94"/>
      <c r="O43" s="94"/>
      <c r="P43" s="94"/>
      <c r="Q43" s="94"/>
      <c r="R43" s="94"/>
      <c r="S43" s="94"/>
      <c r="T43" s="94"/>
      <c r="U43" s="94"/>
      <c r="V43" s="94"/>
      <c r="W43" s="94"/>
      <c r="X43" s="94"/>
      <c r="Y43" s="94"/>
    </row>
    <row r="44">
      <c r="A44" s="1"/>
      <c r="B44" s="44"/>
      <c r="D44" s="44"/>
      <c r="E44" s="94"/>
      <c r="F44" s="94"/>
      <c r="G44" s="94"/>
      <c r="H44" s="94"/>
      <c r="I44" s="94"/>
      <c r="J44" s="94"/>
      <c r="K44" s="94"/>
      <c r="L44" s="94"/>
      <c r="M44" s="94"/>
      <c r="N44" s="94"/>
      <c r="O44" s="94"/>
      <c r="P44" s="94"/>
      <c r="Q44" s="94"/>
      <c r="R44" s="94"/>
      <c r="S44" s="94"/>
      <c r="T44" s="94"/>
      <c r="U44" s="94"/>
      <c r="V44" s="94"/>
      <c r="W44" s="94"/>
      <c r="X44" s="94"/>
      <c r="Y44" s="94"/>
    </row>
    <row r="45">
      <c r="A45" s="1"/>
      <c r="B45" s="44"/>
      <c r="D45" s="44"/>
      <c r="E45" s="94"/>
      <c r="F45" s="94"/>
      <c r="G45" s="94"/>
      <c r="H45" s="94"/>
      <c r="I45" s="94"/>
      <c r="J45" s="94"/>
      <c r="K45" s="94"/>
      <c r="L45" s="94"/>
      <c r="M45" s="94"/>
      <c r="N45" s="94"/>
      <c r="O45" s="94"/>
      <c r="P45" s="94"/>
      <c r="Q45" s="94"/>
      <c r="R45" s="94"/>
      <c r="S45" s="94"/>
      <c r="T45" s="94"/>
      <c r="U45" s="94"/>
      <c r="V45" s="94"/>
      <c r="W45" s="94"/>
      <c r="X45" s="94"/>
      <c r="Y45" s="94"/>
    </row>
    <row r="46">
      <c r="A46" s="1"/>
      <c r="B46" s="44"/>
      <c r="D46" s="44"/>
      <c r="E46" s="94"/>
      <c r="F46" s="94"/>
      <c r="G46" s="94"/>
      <c r="H46" s="94"/>
      <c r="I46" s="94"/>
      <c r="J46" s="94"/>
      <c r="K46" s="94"/>
      <c r="L46" s="94"/>
      <c r="M46" s="94"/>
      <c r="N46" s="94"/>
      <c r="O46" s="94"/>
      <c r="P46" s="94"/>
      <c r="Q46" s="94"/>
      <c r="R46" s="94"/>
      <c r="S46" s="94"/>
      <c r="T46" s="94"/>
      <c r="U46" s="94"/>
      <c r="V46" s="94"/>
      <c r="W46" s="94"/>
      <c r="X46" s="94"/>
      <c r="Y46" s="94"/>
    </row>
    <row r="47">
      <c r="A47" s="1"/>
      <c r="B47" s="44"/>
      <c r="D47" s="44"/>
      <c r="E47" s="94"/>
      <c r="F47" s="94"/>
      <c r="G47" s="94"/>
      <c r="H47" s="94"/>
      <c r="I47" s="94"/>
      <c r="J47" s="94"/>
      <c r="K47" s="94"/>
      <c r="L47" s="94"/>
      <c r="M47" s="94"/>
      <c r="N47" s="94"/>
      <c r="O47" s="94"/>
      <c r="P47" s="94"/>
      <c r="Q47" s="94"/>
      <c r="R47" s="94"/>
      <c r="S47" s="94"/>
      <c r="T47" s="94"/>
      <c r="U47" s="94"/>
      <c r="V47" s="94"/>
      <c r="W47" s="94"/>
      <c r="X47" s="94"/>
      <c r="Y47" s="94"/>
    </row>
    <row r="48">
      <c r="A48" s="1"/>
      <c r="B48" s="44"/>
      <c r="D48" s="44"/>
      <c r="E48" s="94"/>
      <c r="F48" s="94"/>
      <c r="G48" s="94"/>
      <c r="H48" s="94"/>
      <c r="I48" s="94"/>
      <c r="J48" s="94"/>
      <c r="K48" s="94"/>
      <c r="L48" s="94"/>
      <c r="M48" s="94"/>
      <c r="N48" s="94"/>
      <c r="O48" s="94"/>
      <c r="P48" s="94"/>
      <c r="Q48" s="94"/>
      <c r="R48" s="94"/>
      <c r="S48" s="94"/>
      <c r="T48" s="94"/>
      <c r="U48" s="94"/>
      <c r="V48" s="94"/>
      <c r="W48" s="94"/>
      <c r="X48" s="94"/>
      <c r="Y48" s="94"/>
    </row>
    <row r="49">
      <c r="A49" s="1"/>
      <c r="B49" s="44"/>
      <c r="D49" s="44"/>
      <c r="E49" s="94"/>
      <c r="F49" s="94"/>
      <c r="G49" s="94"/>
      <c r="H49" s="94"/>
      <c r="I49" s="94"/>
      <c r="J49" s="94"/>
      <c r="K49" s="94"/>
      <c r="L49" s="94"/>
      <c r="M49" s="94"/>
      <c r="N49" s="94"/>
      <c r="O49" s="94"/>
      <c r="P49" s="94"/>
      <c r="Q49" s="94"/>
      <c r="R49" s="94"/>
      <c r="S49" s="94"/>
      <c r="T49" s="94"/>
      <c r="U49" s="94"/>
      <c r="V49" s="94"/>
      <c r="W49" s="94"/>
      <c r="X49" s="94"/>
      <c r="Y49" s="94"/>
    </row>
    <row r="50">
      <c r="A50" s="1"/>
      <c r="B50" s="44"/>
      <c r="D50" s="44"/>
      <c r="E50" s="94"/>
      <c r="F50" s="94"/>
      <c r="G50" s="94"/>
      <c r="H50" s="94"/>
      <c r="I50" s="94"/>
      <c r="J50" s="94"/>
      <c r="K50" s="94"/>
      <c r="L50" s="94"/>
      <c r="M50" s="94"/>
      <c r="N50" s="94"/>
      <c r="O50" s="94"/>
      <c r="P50" s="94"/>
      <c r="Q50" s="94"/>
      <c r="R50" s="94"/>
      <c r="S50" s="94"/>
      <c r="T50" s="94"/>
      <c r="U50" s="94"/>
      <c r="V50" s="94"/>
      <c r="W50" s="94"/>
      <c r="X50" s="94"/>
      <c r="Y50" s="94"/>
    </row>
    <row r="51">
      <c r="A51" s="1"/>
      <c r="B51" s="44"/>
      <c r="D51" s="44"/>
      <c r="E51" s="94"/>
      <c r="F51" s="94"/>
      <c r="G51" s="94"/>
      <c r="H51" s="94"/>
      <c r="I51" s="94"/>
      <c r="J51" s="94"/>
      <c r="K51" s="94"/>
      <c r="L51" s="94"/>
      <c r="M51" s="94"/>
      <c r="N51" s="94"/>
      <c r="O51" s="94"/>
      <c r="P51" s="94"/>
      <c r="Q51" s="94"/>
      <c r="R51" s="94"/>
      <c r="S51" s="94"/>
      <c r="T51" s="94"/>
      <c r="U51" s="94"/>
      <c r="V51" s="94"/>
      <c r="W51" s="94"/>
      <c r="X51" s="94"/>
      <c r="Y51" s="94"/>
    </row>
    <row r="52">
      <c r="A52" s="1"/>
      <c r="B52" s="44"/>
      <c r="D52" s="44"/>
      <c r="E52" s="94"/>
      <c r="F52" s="94"/>
      <c r="G52" s="94"/>
      <c r="H52" s="94"/>
      <c r="I52" s="94"/>
      <c r="J52" s="94"/>
      <c r="K52" s="94"/>
      <c r="L52" s="94"/>
      <c r="M52" s="94"/>
      <c r="N52" s="94"/>
      <c r="O52" s="94"/>
      <c r="P52" s="94"/>
      <c r="Q52" s="94"/>
      <c r="R52" s="94"/>
      <c r="S52" s="94"/>
      <c r="T52" s="94"/>
      <c r="U52" s="94"/>
      <c r="V52" s="94"/>
      <c r="W52" s="94"/>
      <c r="X52" s="94"/>
      <c r="Y52" s="94"/>
    </row>
    <row r="53">
      <c r="A53" s="1"/>
      <c r="B53" s="44"/>
      <c r="D53" s="44"/>
      <c r="E53" s="94"/>
      <c r="F53" s="94"/>
      <c r="G53" s="94"/>
      <c r="H53" s="94"/>
      <c r="I53" s="94"/>
      <c r="J53" s="94"/>
      <c r="K53" s="94"/>
      <c r="L53" s="94"/>
      <c r="M53" s="94"/>
      <c r="N53" s="94"/>
      <c r="O53" s="94"/>
      <c r="P53" s="94"/>
      <c r="Q53" s="94"/>
      <c r="R53" s="94"/>
      <c r="S53" s="94"/>
      <c r="T53" s="94"/>
      <c r="U53" s="94"/>
      <c r="V53" s="94"/>
      <c r="W53" s="94"/>
      <c r="X53" s="94"/>
      <c r="Y53" s="94"/>
    </row>
    <row r="54">
      <c r="A54" s="1"/>
      <c r="B54" s="44"/>
      <c r="D54" s="44"/>
      <c r="E54" s="94"/>
      <c r="F54" s="94"/>
      <c r="G54" s="94"/>
      <c r="H54" s="94"/>
      <c r="I54" s="94"/>
      <c r="J54" s="94"/>
      <c r="K54" s="94"/>
      <c r="L54" s="94"/>
      <c r="M54" s="94"/>
      <c r="N54" s="94"/>
      <c r="O54" s="94"/>
      <c r="P54" s="94"/>
      <c r="Q54" s="94"/>
      <c r="R54" s="94"/>
      <c r="S54" s="94"/>
      <c r="T54" s="94"/>
      <c r="U54" s="94"/>
      <c r="V54" s="94"/>
      <c r="W54" s="94"/>
      <c r="X54" s="94"/>
      <c r="Y54" s="94"/>
    </row>
    <row r="55">
      <c r="A55" s="1"/>
      <c r="B55" s="44"/>
      <c r="D55" s="44"/>
      <c r="E55" s="94"/>
      <c r="F55" s="94"/>
      <c r="G55" s="94"/>
      <c r="H55" s="94"/>
      <c r="I55" s="94"/>
      <c r="J55" s="94"/>
      <c r="K55" s="94"/>
      <c r="L55" s="94"/>
      <c r="M55" s="94"/>
      <c r="N55" s="94"/>
      <c r="O55" s="94"/>
      <c r="P55" s="94"/>
      <c r="Q55" s="94"/>
      <c r="R55" s="94"/>
      <c r="S55" s="94"/>
      <c r="T55" s="94"/>
      <c r="U55" s="94"/>
      <c r="V55" s="94"/>
      <c r="W55" s="94"/>
      <c r="X55" s="94"/>
      <c r="Y55" s="94"/>
    </row>
    <row r="56">
      <c r="A56" s="1"/>
      <c r="B56" s="44"/>
      <c r="D56" s="44"/>
      <c r="E56" s="94"/>
      <c r="F56" s="94"/>
      <c r="G56" s="94"/>
      <c r="H56" s="94"/>
      <c r="I56" s="94"/>
      <c r="J56" s="94"/>
      <c r="K56" s="94"/>
      <c r="L56" s="94"/>
      <c r="M56" s="94"/>
      <c r="N56" s="94"/>
      <c r="O56" s="94"/>
      <c r="P56" s="94"/>
      <c r="Q56" s="94"/>
      <c r="R56" s="94"/>
      <c r="S56" s="94"/>
      <c r="T56" s="94"/>
      <c r="U56" s="94"/>
      <c r="V56" s="94"/>
      <c r="W56" s="94"/>
      <c r="X56" s="94"/>
      <c r="Y56" s="94"/>
    </row>
    <row r="57">
      <c r="A57" s="1"/>
      <c r="B57" s="44"/>
      <c r="D57" s="44"/>
      <c r="E57" s="94"/>
      <c r="F57" s="94"/>
      <c r="G57" s="94"/>
      <c r="H57" s="94"/>
      <c r="I57" s="94"/>
      <c r="J57" s="94"/>
      <c r="K57" s="94"/>
      <c r="L57" s="94"/>
      <c r="M57" s="94"/>
      <c r="N57" s="94"/>
      <c r="O57" s="94"/>
      <c r="P57" s="94"/>
      <c r="Q57" s="94"/>
      <c r="R57" s="94"/>
      <c r="S57" s="94"/>
      <c r="T57" s="94"/>
      <c r="U57" s="94"/>
      <c r="V57" s="94"/>
      <c r="W57" s="94"/>
      <c r="X57" s="94"/>
      <c r="Y57" s="94"/>
    </row>
    <row r="58">
      <c r="A58" s="1"/>
      <c r="B58" s="44"/>
      <c r="D58" s="44"/>
      <c r="E58" s="94"/>
      <c r="F58" s="94"/>
      <c r="G58" s="94"/>
      <c r="H58" s="94"/>
      <c r="I58" s="94"/>
      <c r="J58" s="94"/>
      <c r="K58" s="94"/>
      <c r="L58" s="94"/>
      <c r="M58" s="94"/>
      <c r="N58" s="94"/>
      <c r="O58" s="94"/>
      <c r="P58" s="94"/>
      <c r="Q58" s="94"/>
      <c r="R58" s="94"/>
      <c r="S58" s="94"/>
      <c r="T58" s="94"/>
      <c r="U58" s="94"/>
      <c r="V58" s="94"/>
      <c r="W58" s="94"/>
      <c r="X58" s="94"/>
      <c r="Y58" s="94"/>
    </row>
    <row r="59">
      <c r="A59" s="1"/>
      <c r="B59" s="44"/>
      <c r="D59" s="44"/>
      <c r="E59" s="94"/>
      <c r="F59" s="94"/>
      <c r="G59" s="94"/>
      <c r="H59" s="94"/>
      <c r="I59" s="94"/>
      <c r="J59" s="94"/>
      <c r="K59" s="94"/>
      <c r="L59" s="94"/>
      <c r="M59" s="94"/>
      <c r="N59" s="94"/>
      <c r="O59" s="94"/>
      <c r="P59" s="94"/>
      <c r="Q59" s="94"/>
      <c r="R59" s="94"/>
      <c r="S59" s="94"/>
      <c r="T59" s="94"/>
      <c r="U59" s="94"/>
      <c r="V59" s="94"/>
      <c r="W59" s="94"/>
      <c r="X59" s="94"/>
      <c r="Y59" s="94"/>
    </row>
    <row r="60">
      <c r="A60" s="1"/>
      <c r="B60" s="44"/>
      <c r="D60" s="44"/>
      <c r="E60" s="94"/>
      <c r="F60" s="94"/>
      <c r="G60" s="94"/>
      <c r="H60" s="94"/>
      <c r="I60" s="94"/>
      <c r="J60" s="94"/>
      <c r="K60" s="94"/>
      <c r="L60" s="94"/>
      <c r="M60" s="94"/>
      <c r="N60" s="94"/>
      <c r="O60" s="94"/>
      <c r="P60" s="94"/>
      <c r="Q60" s="94"/>
      <c r="R60" s="94"/>
      <c r="S60" s="94"/>
      <c r="T60" s="94"/>
      <c r="U60" s="94"/>
      <c r="V60" s="94"/>
      <c r="W60" s="94"/>
      <c r="X60" s="94"/>
      <c r="Y60" s="94"/>
    </row>
    <row r="61">
      <c r="A61" s="1"/>
      <c r="B61" s="44"/>
      <c r="D61" s="44"/>
      <c r="E61" s="94"/>
      <c r="F61" s="94"/>
      <c r="G61" s="94"/>
      <c r="H61" s="94"/>
      <c r="I61" s="94"/>
      <c r="J61" s="94"/>
      <c r="K61" s="94"/>
      <c r="L61" s="94"/>
      <c r="M61" s="94"/>
      <c r="N61" s="94"/>
      <c r="O61" s="94"/>
      <c r="P61" s="94"/>
      <c r="Q61" s="94"/>
      <c r="R61" s="94"/>
      <c r="S61" s="94"/>
      <c r="T61" s="94"/>
      <c r="U61" s="94"/>
      <c r="V61" s="94"/>
      <c r="W61" s="94"/>
      <c r="X61" s="94"/>
      <c r="Y61" s="94"/>
    </row>
    <row r="62">
      <c r="A62" s="1"/>
      <c r="B62" s="44"/>
      <c r="D62" s="44"/>
      <c r="E62" s="94"/>
      <c r="F62" s="94"/>
      <c r="G62" s="94"/>
      <c r="H62" s="94"/>
      <c r="I62" s="94"/>
      <c r="J62" s="94"/>
      <c r="K62" s="94"/>
      <c r="L62" s="94"/>
      <c r="M62" s="94"/>
      <c r="N62" s="94"/>
      <c r="O62" s="94"/>
      <c r="P62" s="94"/>
      <c r="Q62" s="94"/>
      <c r="R62" s="94"/>
      <c r="S62" s="94"/>
      <c r="T62" s="94"/>
      <c r="U62" s="94"/>
      <c r="V62" s="94"/>
      <c r="W62" s="94"/>
      <c r="X62" s="94"/>
      <c r="Y62" s="94"/>
    </row>
    <row r="63">
      <c r="A63" s="1"/>
      <c r="B63" s="44"/>
      <c r="D63" s="44"/>
      <c r="E63" s="94"/>
      <c r="F63" s="94"/>
      <c r="G63" s="94"/>
      <c r="H63" s="94"/>
      <c r="I63" s="94"/>
      <c r="J63" s="94"/>
      <c r="K63" s="94"/>
      <c r="L63" s="94"/>
      <c r="M63" s="94"/>
      <c r="N63" s="94"/>
      <c r="O63" s="94"/>
      <c r="P63" s="94"/>
      <c r="Q63" s="94"/>
      <c r="R63" s="94"/>
      <c r="S63" s="94"/>
      <c r="T63" s="94"/>
      <c r="U63" s="94"/>
      <c r="V63" s="94"/>
      <c r="W63" s="94"/>
      <c r="X63" s="94"/>
      <c r="Y63" s="94"/>
    </row>
    <row r="64">
      <c r="A64" s="1"/>
      <c r="B64" s="44"/>
      <c r="D64" s="44"/>
      <c r="E64" s="94"/>
      <c r="F64" s="94"/>
      <c r="G64" s="94"/>
      <c r="H64" s="94"/>
      <c r="I64" s="94"/>
      <c r="J64" s="94"/>
      <c r="K64" s="94"/>
      <c r="L64" s="94"/>
      <c r="M64" s="94"/>
      <c r="N64" s="94"/>
      <c r="O64" s="94"/>
      <c r="P64" s="94"/>
      <c r="Q64" s="94"/>
      <c r="R64" s="94"/>
      <c r="S64" s="94"/>
      <c r="T64" s="94"/>
      <c r="U64" s="94"/>
      <c r="V64" s="94"/>
      <c r="W64" s="94"/>
      <c r="X64" s="94"/>
      <c r="Y64" s="94"/>
    </row>
    <row r="65">
      <c r="A65" s="1"/>
      <c r="B65" s="44"/>
      <c r="D65" s="44"/>
      <c r="E65" s="94"/>
      <c r="F65" s="94"/>
      <c r="G65" s="94"/>
      <c r="H65" s="94"/>
      <c r="I65" s="94"/>
      <c r="J65" s="94"/>
      <c r="K65" s="94"/>
      <c r="L65" s="94"/>
      <c r="M65" s="94"/>
      <c r="N65" s="94"/>
      <c r="O65" s="94"/>
      <c r="P65" s="94"/>
      <c r="Q65" s="94"/>
      <c r="R65" s="94"/>
      <c r="S65" s="94"/>
      <c r="T65" s="94"/>
      <c r="U65" s="94"/>
      <c r="V65" s="94"/>
      <c r="W65" s="94"/>
      <c r="X65" s="94"/>
      <c r="Y65" s="94"/>
    </row>
    <row r="66">
      <c r="A66" s="1"/>
      <c r="B66" s="44"/>
      <c r="D66" s="44"/>
      <c r="E66" s="94"/>
      <c r="F66" s="94"/>
      <c r="G66" s="94"/>
      <c r="H66" s="94"/>
      <c r="I66" s="94"/>
      <c r="J66" s="94"/>
      <c r="K66" s="94"/>
      <c r="L66" s="94"/>
      <c r="M66" s="94"/>
      <c r="N66" s="94"/>
      <c r="O66" s="94"/>
      <c r="P66" s="94"/>
      <c r="Q66" s="94"/>
      <c r="R66" s="94"/>
      <c r="S66" s="94"/>
      <c r="T66" s="94"/>
      <c r="U66" s="94"/>
      <c r="V66" s="94"/>
      <c r="W66" s="94"/>
      <c r="X66" s="94"/>
      <c r="Y66" s="94"/>
    </row>
    <row r="67">
      <c r="A67" s="1"/>
      <c r="B67" s="44"/>
      <c r="D67" s="44"/>
      <c r="E67" s="94"/>
      <c r="F67" s="94"/>
      <c r="G67" s="94"/>
      <c r="H67" s="94"/>
      <c r="I67" s="94"/>
      <c r="J67" s="94"/>
      <c r="K67" s="94"/>
      <c r="L67" s="94"/>
      <c r="M67" s="94"/>
      <c r="N67" s="94"/>
      <c r="O67" s="94"/>
      <c r="P67" s="94"/>
      <c r="Q67" s="94"/>
      <c r="R67" s="94"/>
      <c r="S67" s="94"/>
      <c r="T67" s="94"/>
      <c r="U67" s="94"/>
      <c r="V67" s="94"/>
      <c r="W67" s="94"/>
      <c r="X67" s="94"/>
      <c r="Y67" s="94"/>
    </row>
    <row r="68">
      <c r="A68" s="1"/>
      <c r="B68" s="44"/>
      <c r="D68" s="44"/>
      <c r="E68" s="94"/>
      <c r="F68" s="94"/>
      <c r="G68" s="94"/>
      <c r="H68" s="94"/>
      <c r="I68" s="94"/>
      <c r="J68" s="94"/>
      <c r="K68" s="94"/>
      <c r="L68" s="94"/>
      <c r="M68" s="94"/>
      <c r="N68" s="94"/>
      <c r="O68" s="94"/>
      <c r="P68" s="94"/>
      <c r="Q68" s="94"/>
      <c r="R68" s="94"/>
      <c r="S68" s="94"/>
      <c r="T68" s="94"/>
      <c r="U68" s="94"/>
      <c r="V68" s="94"/>
      <c r="W68" s="94"/>
      <c r="X68" s="94"/>
      <c r="Y68" s="94"/>
    </row>
    <row r="69">
      <c r="A69" s="1"/>
      <c r="B69" s="44"/>
      <c r="D69" s="44"/>
      <c r="E69" s="94"/>
      <c r="F69" s="94"/>
      <c r="G69" s="94"/>
      <c r="H69" s="94"/>
      <c r="I69" s="94"/>
      <c r="J69" s="94"/>
      <c r="K69" s="94"/>
      <c r="L69" s="94"/>
      <c r="M69" s="94"/>
      <c r="N69" s="94"/>
      <c r="O69" s="94"/>
      <c r="P69" s="94"/>
      <c r="Q69" s="94"/>
      <c r="R69" s="94"/>
      <c r="S69" s="94"/>
      <c r="T69" s="94"/>
      <c r="U69" s="94"/>
      <c r="V69" s="94"/>
      <c r="W69" s="94"/>
      <c r="X69" s="94"/>
      <c r="Y69" s="94"/>
    </row>
    <row r="70">
      <c r="A70" s="1"/>
      <c r="B70" s="44"/>
      <c r="D70" s="44"/>
      <c r="E70" s="94"/>
      <c r="F70" s="94"/>
      <c r="G70" s="94"/>
      <c r="H70" s="94"/>
      <c r="I70" s="94"/>
      <c r="J70" s="94"/>
      <c r="K70" s="94"/>
      <c r="L70" s="94"/>
      <c r="M70" s="94"/>
      <c r="N70" s="94"/>
      <c r="O70" s="94"/>
      <c r="P70" s="94"/>
      <c r="Q70" s="94"/>
      <c r="R70" s="94"/>
      <c r="S70" s="94"/>
      <c r="T70" s="94"/>
      <c r="U70" s="94"/>
      <c r="V70" s="94"/>
      <c r="W70" s="94"/>
      <c r="X70" s="94"/>
      <c r="Y70" s="94"/>
    </row>
    <row r="71">
      <c r="A71" s="1"/>
      <c r="B71" s="44"/>
      <c r="D71" s="44"/>
      <c r="E71" s="94"/>
      <c r="F71" s="94"/>
      <c r="G71" s="94"/>
      <c r="H71" s="94"/>
      <c r="I71" s="94"/>
      <c r="J71" s="94"/>
      <c r="K71" s="94"/>
      <c r="L71" s="94"/>
      <c r="M71" s="94"/>
      <c r="N71" s="94"/>
      <c r="O71" s="94"/>
      <c r="P71" s="94"/>
      <c r="Q71" s="94"/>
      <c r="R71" s="94"/>
      <c r="S71" s="94"/>
      <c r="T71" s="94"/>
      <c r="U71" s="94"/>
      <c r="V71" s="94"/>
      <c r="W71" s="94"/>
      <c r="X71" s="94"/>
      <c r="Y71" s="94"/>
    </row>
    <row r="72">
      <c r="A72" s="1"/>
      <c r="B72" s="44"/>
      <c r="D72" s="44"/>
      <c r="E72" s="94"/>
      <c r="F72" s="94"/>
      <c r="G72" s="94"/>
      <c r="H72" s="94"/>
      <c r="I72" s="94"/>
      <c r="J72" s="94"/>
      <c r="K72" s="94"/>
      <c r="L72" s="94"/>
      <c r="M72" s="94"/>
      <c r="N72" s="94"/>
      <c r="O72" s="94"/>
      <c r="P72" s="94"/>
      <c r="Q72" s="94"/>
      <c r="R72" s="94"/>
      <c r="S72" s="94"/>
      <c r="T72" s="94"/>
      <c r="U72" s="94"/>
      <c r="V72" s="94"/>
      <c r="W72" s="94"/>
      <c r="X72" s="94"/>
      <c r="Y72" s="94"/>
    </row>
    <row r="73">
      <c r="A73" s="1"/>
      <c r="B73" s="44"/>
      <c r="D73" s="44"/>
      <c r="E73" s="94"/>
      <c r="F73" s="94"/>
      <c r="G73" s="94"/>
      <c r="H73" s="94"/>
      <c r="I73" s="94"/>
      <c r="J73" s="94"/>
      <c r="K73" s="94"/>
      <c r="L73" s="94"/>
      <c r="M73" s="94"/>
      <c r="N73" s="94"/>
      <c r="O73" s="94"/>
      <c r="P73" s="94"/>
      <c r="Q73" s="94"/>
      <c r="R73" s="94"/>
      <c r="S73" s="94"/>
      <c r="T73" s="94"/>
      <c r="U73" s="94"/>
      <c r="V73" s="94"/>
      <c r="W73" s="94"/>
      <c r="X73" s="94"/>
      <c r="Y73" s="94"/>
    </row>
    <row r="74">
      <c r="A74" s="1"/>
      <c r="B74" s="44"/>
      <c r="D74" s="44"/>
      <c r="E74" s="94"/>
      <c r="F74" s="94"/>
      <c r="G74" s="94"/>
      <c r="H74" s="94"/>
      <c r="I74" s="94"/>
      <c r="J74" s="94"/>
      <c r="K74" s="94"/>
      <c r="L74" s="94"/>
      <c r="M74" s="94"/>
      <c r="N74" s="94"/>
      <c r="O74" s="94"/>
      <c r="P74" s="94"/>
      <c r="Q74" s="94"/>
      <c r="R74" s="94"/>
      <c r="S74" s="94"/>
      <c r="T74" s="94"/>
      <c r="U74" s="94"/>
      <c r="V74" s="94"/>
      <c r="W74" s="94"/>
      <c r="X74" s="94"/>
      <c r="Y74" s="94"/>
    </row>
    <row r="75">
      <c r="A75" s="1"/>
      <c r="B75" s="44"/>
      <c r="D75" s="44"/>
      <c r="E75" s="94"/>
      <c r="F75" s="94"/>
      <c r="G75" s="94"/>
      <c r="H75" s="94"/>
      <c r="I75" s="94"/>
      <c r="J75" s="94"/>
      <c r="K75" s="94"/>
      <c r="L75" s="94"/>
      <c r="M75" s="94"/>
      <c r="N75" s="94"/>
      <c r="O75" s="94"/>
      <c r="P75" s="94"/>
      <c r="Q75" s="94"/>
      <c r="R75" s="94"/>
      <c r="S75" s="94"/>
      <c r="T75" s="94"/>
      <c r="U75" s="94"/>
      <c r="V75" s="94"/>
      <c r="W75" s="94"/>
      <c r="X75" s="94"/>
      <c r="Y75" s="94"/>
    </row>
    <row r="76">
      <c r="A76" s="1"/>
      <c r="B76" s="44"/>
      <c r="D76" s="44"/>
      <c r="E76" s="94"/>
      <c r="F76" s="94"/>
      <c r="G76" s="94"/>
      <c r="H76" s="94"/>
      <c r="I76" s="94"/>
      <c r="J76" s="94"/>
      <c r="K76" s="94"/>
      <c r="L76" s="94"/>
      <c r="M76" s="94"/>
      <c r="N76" s="94"/>
      <c r="O76" s="94"/>
      <c r="P76" s="94"/>
      <c r="Q76" s="94"/>
      <c r="R76" s="94"/>
      <c r="S76" s="94"/>
      <c r="T76" s="94"/>
      <c r="U76" s="94"/>
      <c r="V76" s="94"/>
      <c r="W76" s="94"/>
      <c r="X76" s="94"/>
      <c r="Y76" s="94"/>
    </row>
    <row r="77">
      <c r="A77" s="1"/>
      <c r="B77" s="44"/>
      <c r="D77" s="44"/>
      <c r="E77" s="94"/>
      <c r="F77" s="94"/>
      <c r="G77" s="94"/>
      <c r="H77" s="94"/>
      <c r="I77" s="94"/>
      <c r="J77" s="94"/>
      <c r="K77" s="94"/>
      <c r="L77" s="94"/>
      <c r="M77" s="94"/>
      <c r="N77" s="94"/>
      <c r="O77" s="94"/>
      <c r="P77" s="94"/>
      <c r="Q77" s="94"/>
      <c r="R77" s="94"/>
      <c r="S77" s="94"/>
      <c r="T77" s="94"/>
      <c r="U77" s="94"/>
      <c r="V77" s="94"/>
      <c r="W77" s="94"/>
      <c r="X77" s="94"/>
      <c r="Y77" s="94"/>
    </row>
    <row r="78">
      <c r="A78" s="1"/>
      <c r="B78" s="44"/>
      <c r="D78" s="44"/>
      <c r="E78" s="94"/>
      <c r="F78" s="94"/>
      <c r="G78" s="94"/>
      <c r="H78" s="94"/>
      <c r="I78" s="94"/>
      <c r="J78" s="94"/>
      <c r="K78" s="94"/>
      <c r="L78" s="94"/>
      <c r="M78" s="94"/>
      <c r="N78" s="94"/>
      <c r="O78" s="94"/>
      <c r="P78" s="94"/>
      <c r="Q78" s="94"/>
      <c r="R78" s="94"/>
      <c r="S78" s="94"/>
      <c r="T78" s="94"/>
      <c r="U78" s="94"/>
      <c r="V78" s="94"/>
      <c r="W78" s="94"/>
      <c r="X78" s="94"/>
      <c r="Y78" s="94"/>
    </row>
    <row r="79">
      <c r="A79" s="1"/>
      <c r="B79" s="44"/>
      <c r="D79" s="44"/>
      <c r="E79" s="94"/>
      <c r="F79" s="94"/>
      <c r="G79" s="94"/>
      <c r="H79" s="94"/>
      <c r="I79" s="94"/>
      <c r="J79" s="94"/>
      <c r="K79" s="94"/>
      <c r="L79" s="94"/>
      <c r="M79" s="94"/>
      <c r="N79" s="94"/>
      <c r="O79" s="94"/>
      <c r="P79" s="94"/>
      <c r="Q79" s="94"/>
      <c r="R79" s="94"/>
      <c r="S79" s="94"/>
      <c r="T79" s="94"/>
      <c r="U79" s="94"/>
      <c r="V79" s="94"/>
      <c r="W79" s="94"/>
      <c r="X79" s="94"/>
      <c r="Y79" s="94"/>
    </row>
    <row r="80">
      <c r="A80" s="1"/>
      <c r="B80" s="44"/>
      <c r="D80" s="44"/>
      <c r="E80" s="94"/>
      <c r="F80" s="94"/>
      <c r="G80" s="94"/>
      <c r="H80" s="94"/>
      <c r="I80" s="94"/>
      <c r="J80" s="94"/>
      <c r="K80" s="94"/>
      <c r="L80" s="94"/>
      <c r="M80" s="94"/>
      <c r="N80" s="94"/>
      <c r="O80" s="94"/>
      <c r="P80" s="94"/>
      <c r="Q80" s="94"/>
      <c r="R80" s="94"/>
      <c r="S80" s="94"/>
      <c r="T80" s="94"/>
      <c r="U80" s="94"/>
      <c r="V80" s="94"/>
      <c r="W80" s="94"/>
      <c r="X80" s="94"/>
      <c r="Y80" s="94"/>
    </row>
    <row r="81">
      <c r="A81" s="1"/>
      <c r="B81" s="44"/>
      <c r="D81" s="44"/>
      <c r="E81" s="94"/>
      <c r="F81" s="94"/>
      <c r="G81" s="94"/>
      <c r="H81" s="94"/>
      <c r="I81" s="94"/>
      <c r="J81" s="94"/>
      <c r="K81" s="94"/>
      <c r="L81" s="94"/>
      <c r="M81" s="94"/>
      <c r="N81" s="94"/>
      <c r="O81" s="94"/>
      <c r="P81" s="94"/>
      <c r="Q81" s="94"/>
      <c r="R81" s="94"/>
      <c r="S81" s="94"/>
      <c r="T81" s="94"/>
      <c r="U81" s="94"/>
      <c r="V81" s="94"/>
      <c r="W81" s="94"/>
      <c r="X81" s="94"/>
      <c r="Y81" s="94"/>
    </row>
    <row r="82">
      <c r="A82" s="1"/>
      <c r="B82" s="44"/>
      <c r="D82" s="44"/>
      <c r="E82" s="94"/>
      <c r="F82" s="94"/>
      <c r="G82" s="94"/>
      <c r="H82" s="94"/>
      <c r="I82" s="94"/>
      <c r="J82" s="94"/>
      <c r="K82" s="94"/>
      <c r="L82" s="94"/>
      <c r="M82" s="94"/>
      <c r="N82" s="94"/>
      <c r="O82" s="94"/>
      <c r="P82" s="94"/>
      <c r="Q82" s="94"/>
      <c r="R82" s="94"/>
      <c r="S82" s="94"/>
      <c r="T82" s="94"/>
      <c r="U82" s="94"/>
      <c r="V82" s="94"/>
      <c r="W82" s="94"/>
      <c r="X82" s="94"/>
      <c r="Y82" s="94"/>
    </row>
    <row r="83">
      <c r="A83" s="1"/>
      <c r="B83" s="44"/>
      <c r="D83" s="44"/>
      <c r="E83" s="94"/>
      <c r="F83" s="94"/>
      <c r="G83" s="94"/>
      <c r="H83" s="94"/>
      <c r="I83" s="94"/>
      <c r="J83" s="94"/>
      <c r="K83" s="94"/>
      <c r="L83" s="94"/>
      <c r="M83" s="94"/>
      <c r="N83" s="94"/>
      <c r="O83" s="94"/>
      <c r="P83" s="94"/>
      <c r="Q83" s="94"/>
      <c r="R83" s="94"/>
      <c r="S83" s="94"/>
      <c r="T83" s="94"/>
      <c r="U83" s="94"/>
      <c r="V83" s="94"/>
      <c r="W83" s="94"/>
      <c r="X83" s="94"/>
      <c r="Y83" s="94"/>
    </row>
    <row r="84">
      <c r="A84" s="1"/>
      <c r="B84" s="44"/>
      <c r="D84" s="44"/>
      <c r="E84" s="94"/>
      <c r="F84" s="94"/>
      <c r="G84" s="94"/>
      <c r="H84" s="94"/>
      <c r="I84" s="94"/>
      <c r="J84" s="94"/>
      <c r="K84" s="94"/>
      <c r="L84" s="94"/>
      <c r="M84" s="94"/>
      <c r="N84" s="94"/>
      <c r="O84" s="94"/>
      <c r="P84" s="94"/>
      <c r="Q84" s="94"/>
      <c r="R84" s="94"/>
      <c r="S84" s="94"/>
      <c r="T84" s="94"/>
      <c r="U84" s="94"/>
      <c r="V84" s="94"/>
      <c r="W84" s="94"/>
      <c r="X84" s="94"/>
      <c r="Y84" s="94"/>
    </row>
    <row r="85">
      <c r="A85" s="1"/>
      <c r="B85" s="44"/>
      <c r="D85" s="44"/>
      <c r="E85" s="94"/>
      <c r="F85" s="94"/>
      <c r="G85" s="94"/>
      <c r="H85" s="94"/>
      <c r="I85" s="94"/>
      <c r="J85" s="94"/>
      <c r="K85" s="94"/>
      <c r="L85" s="94"/>
      <c r="M85" s="94"/>
      <c r="N85" s="94"/>
      <c r="O85" s="94"/>
      <c r="P85" s="94"/>
      <c r="Q85" s="94"/>
      <c r="R85" s="94"/>
      <c r="S85" s="94"/>
      <c r="T85" s="94"/>
      <c r="U85" s="94"/>
      <c r="V85" s="94"/>
      <c r="W85" s="94"/>
      <c r="X85" s="94"/>
      <c r="Y85" s="94"/>
    </row>
    <row r="86">
      <c r="A86" s="1"/>
      <c r="B86" s="44"/>
      <c r="D86" s="44"/>
      <c r="E86" s="94"/>
      <c r="F86" s="94"/>
      <c r="G86" s="94"/>
      <c r="H86" s="94"/>
      <c r="I86" s="94"/>
      <c r="J86" s="94"/>
      <c r="K86" s="94"/>
      <c r="L86" s="94"/>
      <c r="M86" s="94"/>
      <c r="N86" s="94"/>
      <c r="O86" s="94"/>
      <c r="P86" s="94"/>
      <c r="Q86" s="94"/>
      <c r="R86" s="94"/>
      <c r="S86" s="94"/>
      <c r="T86" s="94"/>
      <c r="U86" s="94"/>
      <c r="V86" s="94"/>
      <c r="W86" s="94"/>
      <c r="X86" s="94"/>
      <c r="Y86" s="94"/>
    </row>
    <row r="87">
      <c r="A87" s="1"/>
      <c r="B87" s="44"/>
      <c r="D87" s="44"/>
      <c r="E87" s="94"/>
      <c r="F87" s="94"/>
      <c r="G87" s="94"/>
      <c r="H87" s="94"/>
      <c r="I87" s="94"/>
      <c r="J87" s="94"/>
      <c r="K87" s="94"/>
      <c r="L87" s="94"/>
      <c r="M87" s="94"/>
      <c r="N87" s="94"/>
      <c r="O87" s="94"/>
      <c r="P87" s="94"/>
      <c r="Q87" s="94"/>
      <c r="R87" s="94"/>
      <c r="S87" s="94"/>
      <c r="T87" s="94"/>
      <c r="U87" s="94"/>
      <c r="V87" s="94"/>
      <c r="W87" s="94"/>
      <c r="X87" s="94"/>
      <c r="Y87" s="94"/>
    </row>
    <row r="88">
      <c r="A88" s="1"/>
      <c r="B88" s="44"/>
      <c r="D88" s="44"/>
      <c r="E88" s="94"/>
      <c r="F88" s="94"/>
      <c r="G88" s="94"/>
      <c r="H88" s="94"/>
      <c r="I88" s="94"/>
      <c r="J88" s="94"/>
      <c r="K88" s="94"/>
      <c r="L88" s="94"/>
      <c r="M88" s="94"/>
      <c r="N88" s="94"/>
      <c r="O88" s="94"/>
      <c r="P88" s="94"/>
      <c r="Q88" s="94"/>
      <c r="R88" s="94"/>
      <c r="S88" s="94"/>
      <c r="T88" s="94"/>
      <c r="U88" s="94"/>
      <c r="V88" s="94"/>
      <c r="W88" s="94"/>
      <c r="X88" s="94"/>
      <c r="Y88" s="94"/>
    </row>
    <row r="89">
      <c r="A89" s="1"/>
      <c r="B89" s="44"/>
      <c r="D89" s="44"/>
      <c r="E89" s="94"/>
      <c r="F89" s="94"/>
      <c r="G89" s="94"/>
      <c r="H89" s="94"/>
      <c r="I89" s="94"/>
      <c r="J89" s="94"/>
      <c r="K89" s="94"/>
      <c r="L89" s="94"/>
      <c r="M89" s="94"/>
      <c r="N89" s="94"/>
      <c r="O89" s="94"/>
      <c r="P89" s="94"/>
      <c r="Q89" s="94"/>
      <c r="R89" s="94"/>
      <c r="S89" s="94"/>
      <c r="T89" s="94"/>
      <c r="U89" s="94"/>
      <c r="V89" s="94"/>
      <c r="W89" s="94"/>
      <c r="X89" s="94"/>
      <c r="Y89" s="94"/>
    </row>
    <row r="90">
      <c r="A90" s="1"/>
      <c r="B90" s="44"/>
      <c r="D90" s="44"/>
      <c r="E90" s="94"/>
      <c r="F90" s="94"/>
      <c r="G90" s="94"/>
      <c r="H90" s="94"/>
      <c r="I90" s="94"/>
      <c r="J90" s="94"/>
      <c r="K90" s="94"/>
      <c r="L90" s="94"/>
      <c r="M90" s="94"/>
      <c r="N90" s="94"/>
      <c r="O90" s="94"/>
      <c r="P90" s="94"/>
      <c r="Q90" s="94"/>
      <c r="R90" s="94"/>
      <c r="S90" s="94"/>
      <c r="T90" s="94"/>
      <c r="U90" s="94"/>
      <c r="V90" s="94"/>
      <c r="W90" s="94"/>
      <c r="X90" s="94"/>
      <c r="Y90" s="94"/>
    </row>
    <row r="91">
      <c r="A91" s="1"/>
      <c r="B91" s="44"/>
      <c r="D91" s="44"/>
      <c r="E91" s="94"/>
      <c r="F91" s="94"/>
      <c r="G91" s="94"/>
      <c r="H91" s="94"/>
      <c r="I91" s="94"/>
      <c r="J91" s="94"/>
      <c r="K91" s="94"/>
      <c r="L91" s="94"/>
      <c r="M91" s="94"/>
      <c r="N91" s="94"/>
      <c r="O91" s="94"/>
      <c r="P91" s="94"/>
      <c r="Q91" s="94"/>
      <c r="R91" s="94"/>
      <c r="S91" s="94"/>
      <c r="T91" s="94"/>
      <c r="U91" s="94"/>
      <c r="V91" s="94"/>
      <c r="W91" s="94"/>
      <c r="X91" s="94"/>
      <c r="Y91" s="94"/>
    </row>
    <row r="92">
      <c r="A92" s="1"/>
      <c r="B92" s="44"/>
      <c r="D92" s="44"/>
      <c r="E92" s="94"/>
      <c r="F92" s="94"/>
      <c r="G92" s="94"/>
      <c r="H92" s="94"/>
      <c r="I92" s="94"/>
      <c r="J92" s="94"/>
      <c r="K92" s="94"/>
      <c r="L92" s="94"/>
      <c r="M92" s="94"/>
      <c r="N92" s="94"/>
      <c r="O92" s="94"/>
      <c r="P92" s="94"/>
      <c r="Q92" s="94"/>
      <c r="R92" s="94"/>
      <c r="S92" s="94"/>
      <c r="T92" s="94"/>
      <c r="U92" s="94"/>
      <c r="V92" s="94"/>
      <c r="W92" s="94"/>
      <c r="X92" s="94"/>
      <c r="Y92" s="94"/>
    </row>
    <row r="93">
      <c r="A93" s="1"/>
      <c r="B93" s="44"/>
      <c r="D93" s="44"/>
      <c r="E93" s="94"/>
      <c r="F93" s="94"/>
      <c r="G93" s="94"/>
      <c r="H93" s="94"/>
      <c r="I93" s="94"/>
      <c r="J93" s="94"/>
      <c r="K93" s="94"/>
      <c r="L93" s="94"/>
      <c r="M93" s="94"/>
      <c r="N93" s="94"/>
      <c r="O93" s="94"/>
      <c r="P93" s="94"/>
      <c r="Q93" s="94"/>
      <c r="R93" s="94"/>
      <c r="S93" s="94"/>
      <c r="T93" s="94"/>
      <c r="U93" s="94"/>
      <c r="V93" s="94"/>
      <c r="W93" s="94"/>
      <c r="X93" s="94"/>
      <c r="Y93" s="94"/>
    </row>
    <row r="94">
      <c r="A94" s="1"/>
      <c r="B94" s="44"/>
      <c r="D94" s="44"/>
      <c r="E94" s="94"/>
      <c r="F94" s="94"/>
      <c r="G94" s="94"/>
      <c r="H94" s="94"/>
      <c r="I94" s="94"/>
      <c r="J94" s="94"/>
      <c r="K94" s="94"/>
      <c r="L94" s="94"/>
      <c r="M94" s="94"/>
      <c r="N94" s="94"/>
      <c r="O94" s="94"/>
      <c r="P94" s="94"/>
      <c r="Q94" s="94"/>
      <c r="R94" s="94"/>
      <c r="S94" s="94"/>
      <c r="T94" s="94"/>
      <c r="U94" s="94"/>
      <c r="V94" s="94"/>
      <c r="W94" s="94"/>
      <c r="X94" s="94"/>
      <c r="Y94" s="94"/>
    </row>
    <row r="95">
      <c r="A95" s="1"/>
      <c r="B95" s="44"/>
      <c r="D95" s="44"/>
      <c r="E95" s="94"/>
      <c r="F95" s="94"/>
      <c r="G95" s="94"/>
      <c r="H95" s="94"/>
      <c r="I95" s="94"/>
      <c r="J95" s="94"/>
      <c r="K95" s="94"/>
      <c r="L95" s="94"/>
      <c r="M95" s="94"/>
      <c r="N95" s="94"/>
      <c r="O95" s="94"/>
      <c r="P95" s="94"/>
      <c r="Q95" s="94"/>
      <c r="R95" s="94"/>
      <c r="S95" s="94"/>
      <c r="T95" s="94"/>
      <c r="U95" s="94"/>
      <c r="V95" s="94"/>
      <c r="W95" s="94"/>
      <c r="X95" s="94"/>
      <c r="Y95" s="94"/>
    </row>
    <row r="96">
      <c r="A96" s="1"/>
      <c r="B96" s="44"/>
      <c r="D96" s="44"/>
      <c r="E96" s="94"/>
      <c r="F96" s="94"/>
      <c r="G96" s="94"/>
      <c r="H96" s="94"/>
      <c r="I96" s="94"/>
      <c r="J96" s="94"/>
      <c r="K96" s="94"/>
      <c r="L96" s="94"/>
      <c r="M96" s="94"/>
      <c r="N96" s="94"/>
      <c r="O96" s="94"/>
      <c r="P96" s="94"/>
      <c r="Q96" s="94"/>
      <c r="R96" s="94"/>
      <c r="S96" s="94"/>
      <c r="T96" s="94"/>
      <c r="U96" s="94"/>
      <c r="V96" s="94"/>
      <c r="W96" s="94"/>
      <c r="X96" s="94"/>
      <c r="Y96" s="94"/>
    </row>
    <row r="97">
      <c r="A97" s="1"/>
      <c r="B97" s="44"/>
      <c r="D97" s="44"/>
      <c r="E97" s="94"/>
      <c r="F97" s="94"/>
      <c r="G97" s="94"/>
      <c r="H97" s="94"/>
      <c r="I97" s="94"/>
      <c r="J97" s="94"/>
      <c r="K97" s="94"/>
      <c r="L97" s="94"/>
      <c r="M97" s="94"/>
      <c r="N97" s="94"/>
      <c r="O97" s="94"/>
      <c r="P97" s="94"/>
      <c r="Q97" s="94"/>
      <c r="R97" s="94"/>
      <c r="S97" s="94"/>
      <c r="T97" s="94"/>
      <c r="U97" s="94"/>
      <c r="V97" s="94"/>
      <c r="W97" s="94"/>
      <c r="X97" s="94"/>
      <c r="Y97" s="94"/>
    </row>
    <row r="98">
      <c r="A98" s="1"/>
      <c r="B98" s="44"/>
      <c r="D98" s="44"/>
      <c r="E98" s="94"/>
      <c r="F98" s="94"/>
      <c r="G98" s="94"/>
      <c r="H98" s="94"/>
      <c r="I98" s="94"/>
      <c r="J98" s="94"/>
      <c r="K98" s="94"/>
      <c r="L98" s="94"/>
      <c r="M98" s="94"/>
      <c r="N98" s="94"/>
      <c r="O98" s="94"/>
      <c r="P98" s="94"/>
      <c r="Q98" s="94"/>
      <c r="R98" s="94"/>
      <c r="S98" s="94"/>
      <c r="T98" s="94"/>
      <c r="U98" s="94"/>
      <c r="V98" s="94"/>
      <c r="W98" s="94"/>
      <c r="X98" s="94"/>
      <c r="Y98" s="94"/>
    </row>
    <row r="99">
      <c r="A99" s="1"/>
      <c r="B99" s="44"/>
      <c r="D99" s="44"/>
      <c r="E99" s="94"/>
      <c r="F99" s="94"/>
      <c r="G99" s="94"/>
      <c r="H99" s="94"/>
      <c r="I99" s="94"/>
      <c r="J99" s="94"/>
      <c r="K99" s="94"/>
      <c r="L99" s="94"/>
      <c r="M99" s="94"/>
      <c r="N99" s="94"/>
      <c r="O99" s="94"/>
      <c r="P99" s="94"/>
      <c r="Q99" s="94"/>
      <c r="R99" s="94"/>
      <c r="S99" s="94"/>
      <c r="T99" s="94"/>
      <c r="U99" s="94"/>
      <c r="V99" s="94"/>
      <c r="W99" s="94"/>
      <c r="X99" s="94"/>
      <c r="Y99" s="94"/>
    </row>
    <row r="100">
      <c r="A100" s="1"/>
      <c r="B100" s="44"/>
      <c r="D100" s="44"/>
      <c r="E100" s="94"/>
      <c r="F100" s="94"/>
      <c r="G100" s="94"/>
      <c r="H100" s="94"/>
      <c r="I100" s="94"/>
      <c r="J100" s="94"/>
      <c r="K100" s="94"/>
      <c r="L100" s="94"/>
      <c r="M100" s="94"/>
      <c r="N100" s="94"/>
      <c r="O100" s="94"/>
      <c r="P100" s="94"/>
      <c r="Q100" s="94"/>
      <c r="R100" s="94"/>
      <c r="S100" s="94"/>
      <c r="T100" s="94"/>
      <c r="U100" s="94"/>
      <c r="V100" s="94"/>
      <c r="W100" s="94"/>
      <c r="X100" s="94"/>
      <c r="Y100" s="94"/>
    </row>
    <row r="101">
      <c r="A101" s="1"/>
      <c r="B101" s="44"/>
      <c r="D101" s="44"/>
      <c r="E101" s="94"/>
      <c r="F101" s="94"/>
      <c r="G101" s="94"/>
      <c r="H101" s="94"/>
      <c r="I101" s="94"/>
      <c r="J101" s="94"/>
      <c r="K101" s="94"/>
      <c r="L101" s="94"/>
      <c r="M101" s="94"/>
      <c r="N101" s="94"/>
      <c r="O101" s="94"/>
      <c r="P101" s="94"/>
      <c r="Q101" s="94"/>
      <c r="R101" s="94"/>
      <c r="S101" s="94"/>
      <c r="T101" s="94"/>
      <c r="U101" s="94"/>
      <c r="V101" s="94"/>
      <c r="W101" s="94"/>
      <c r="X101" s="94"/>
      <c r="Y101" s="94"/>
    </row>
    <row r="102">
      <c r="A102" s="1"/>
      <c r="B102" s="44"/>
      <c r="D102" s="44"/>
      <c r="E102" s="94"/>
      <c r="F102" s="94"/>
      <c r="G102" s="94"/>
      <c r="H102" s="94"/>
      <c r="I102" s="94"/>
      <c r="J102" s="94"/>
      <c r="K102" s="94"/>
      <c r="L102" s="94"/>
      <c r="M102" s="94"/>
      <c r="N102" s="94"/>
      <c r="O102" s="94"/>
      <c r="P102" s="94"/>
      <c r="Q102" s="94"/>
      <c r="R102" s="94"/>
      <c r="S102" s="94"/>
      <c r="T102" s="94"/>
      <c r="U102" s="94"/>
      <c r="V102" s="94"/>
      <c r="W102" s="94"/>
      <c r="X102" s="94"/>
      <c r="Y102" s="94"/>
    </row>
    <row r="103">
      <c r="A103" s="1"/>
      <c r="B103" s="44"/>
      <c r="D103" s="44"/>
      <c r="E103" s="94"/>
      <c r="F103" s="94"/>
      <c r="G103" s="94"/>
      <c r="H103" s="94"/>
      <c r="I103" s="94"/>
      <c r="J103" s="94"/>
      <c r="K103" s="94"/>
      <c r="L103" s="94"/>
      <c r="M103" s="94"/>
      <c r="N103" s="94"/>
      <c r="O103" s="94"/>
      <c r="P103" s="94"/>
      <c r="Q103" s="94"/>
      <c r="R103" s="94"/>
      <c r="S103" s="94"/>
      <c r="T103" s="94"/>
      <c r="U103" s="94"/>
      <c r="V103" s="94"/>
      <c r="W103" s="94"/>
      <c r="X103" s="94"/>
      <c r="Y103" s="94"/>
    </row>
    <row r="104">
      <c r="A104" s="1"/>
      <c r="B104" s="44"/>
      <c r="D104" s="44"/>
      <c r="E104" s="94"/>
      <c r="F104" s="94"/>
      <c r="G104" s="94"/>
      <c r="H104" s="94"/>
      <c r="I104" s="94"/>
      <c r="J104" s="94"/>
      <c r="K104" s="94"/>
      <c r="L104" s="94"/>
      <c r="M104" s="94"/>
      <c r="N104" s="94"/>
      <c r="O104" s="94"/>
      <c r="P104" s="94"/>
      <c r="Q104" s="94"/>
      <c r="R104" s="94"/>
      <c r="S104" s="94"/>
      <c r="T104" s="94"/>
      <c r="U104" s="94"/>
      <c r="V104" s="94"/>
      <c r="W104" s="94"/>
      <c r="X104" s="94"/>
      <c r="Y104" s="94"/>
    </row>
    <row r="105">
      <c r="A105" s="1"/>
      <c r="B105" s="44"/>
      <c r="D105" s="44"/>
      <c r="E105" s="94"/>
      <c r="F105" s="94"/>
      <c r="G105" s="94"/>
      <c r="H105" s="94"/>
      <c r="I105" s="94"/>
      <c r="J105" s="94"/>
      <c r="K105" s="94"/>
      <c r="L105" s="94"/>
      <c r="M105" s="94"/>
      <c r="N105" s="94"/>
      <c r="O105" s="94"/>
      <c r="P105" s="94"/>
      <c r="Q105" s="94"/>
      <c r="R105" s="94"/>
      <c r="S105" s="94"/>
      <c r="T105" s="94"/>
      <c r="U105" s="94"/>
      <c r="V105" s="94"/>
      <c r="W105" s="94"/>
      <c r="X105" s="94"/>
      <c r="Y105" s="94"/>
    </row>
    <row r="106">
      <c r="A106" s="1"/>
      <c r="B106" s="44"/>
      <c r="D106" s="44"/>
      <c r="E106" s="94"/>
      <c r="F106" s="94"/>
      <c r="G106" s="94"/>
      <c r="H106" s="94"/>
      <c r="I106" s="94"/>
      <c r="J106" s="94"/>
      <c r="K106" s="94"/>
      <c r="L106" s="94"/>
      <c r="M106" s="94"/>
      <c r="N106" s="94"/>
      <c r="O106" s="94"/>
      <c r="P106" s="94"/>
      <c r="Q106" s="94"/>
      <c r="R106" s="94"/>
      <c r="S106" s="94"/>
      <c r="T106" s="94"/>
      <c r="U106" s="94"/>
      <c r="V106" s="94"/>
      <c r="W106" s="94"/>
      <c r="X106" s="94"/>
      <c r="Y106" s="94"/>
    </row>
    <row r="107">
      <c r="A107" s="1"/>
      <c r="B107" s="44"/>
      <c r="D107" s="44"/>
      <c r="E107" s="94"/>
      <c r="F107" s="94"/>
      <c r="G107" s="94"/>
      <c r="H107" s="94"/>
      <c r="I107" s="94"/>
      <c r="J107" s="94"/>
      <c r="K107" s="94"/>
      <c r="L107" s="94"/>
      <c r="M107" s="94"/>
      <c r="N107" s="94"/>
      <c r="O107" s="94"/>
      <c r="P107" s="94"/>
      <c r="Q107" s="94"/>
      <c r="R107" s="94"/>
      <c r="S107" s="94"/>
      <c r="T107" s="94"/>
      <c r="U107" s="94"/>
      <c r="V107" s="94"/>
      <c r="W107" s="94"/>
      <c r="X107" s="94"/>
      <c r="Y107" s="94"/>
    </row>
    <row r="108">
      <c r="A108" s="1"/>
      <c r="B108" s="44"/>
      <c r="D108" s="44"/>
      <c r="E108" s="94"/>
      <c r="F108" s="94"/>
      <c r="G108" s="94"/>
      <c r="H108" s="94"/>
      <c r="I108" s="94"/>
      <c r="J108" s="94"/>
      <c r="K108" s="94"/>
      <c r="L108" s="94"/>
      <c r="M108" s="94"/>
      <c r="N108" s="94"/>
      <c r="O108" s="94"/>
      <c r="P108" s="94"/>
      <c r="Q108" s="94"/>
      <c r="R108" s="94"/>
      <c r="S108" s="94"/>
      <c r="T108" s="94"/>
      <c r="U108" s="94"/>
      <c r="V108" s="94"/>
      <c r="W108" s="94"/>
      <c r="X108" s="94"/>
      <c r="Y108" s="94"/>
    </row>
    <row r="109">
      <c r="A109" s="1"/>
      <c r="B109" s="44"/>
      <c r="D109" s="44"/>
      <c r="E109" s="94"/>
      <c r="F109" s="94"/>
      <c r="G109" s="94"/>
      <c r="H109" s="94"/>
      <c r="I109" s="94"/>
      <c r="J109" s="94"/>
      <c r="K109" s="94"/>
      <c r="L109" s="94"/>
      <c r="M109" s="94"/>
      <c r="N109" s="94"/>
      <c r="O109" s="94"/>
      <c r="P109" s="94"/>
      <c r="Q109" s="94"/>
      <c r="R109" s="94"/>
      <c r="S109" s="94"/>
      <c r="T109" s="94"/>
      <c r="U109" s="94"/>
      <c r="V109" s="94"/>
      <c r="W109" s="94"/>
      <c r="X109" s="94"/>
      <c r="Y109" s="94"/>
    </row>
    <row r="110">
      <c r="A110" s="1"/>
      <c r="B110" s="44"/>
      <c r="D110" s="44"/>
      <c r="E110" s="94"/>
      <c r="F110" s="94"/>
      <c r="G110" s="94"/>
      <c r="H110" s="94"/>
      <c r="I110" s="94"/>
      <c r="J110" s="94"/>
      <c r="K110" s="94"/>
      <c r="L110" s="94"/>
      <c r="M110" s="94"/>
      <c r="N110" s="94"/>
      <c r="O110" s="94"/>
      <c r="P110" s="94"/>
      <c r="Q110" s="94"/>
      <c r="R110" s="94"/>
      <c r="S110" s="94"/>
      <c r="T110" s="94"/>
      <c r="U110" s="94"/>
      <c r="V110" s="94"/>
      <c r="W110" s="94"/>
      <c r="X110" s="94"/>
      <c r="Y110" s="94"/>
    </row>
    <row r="111">
      <c r="A111" s="1"/>
      <c r="B111" s="44"/>
      <c r="D111" s="44"/>
      <c r="E111" s="94"/>
      <c r="F111" s="94"/>
      <c r="G111" s="94"/>
      <c r="H111" s="94"/>
      <c r="I111" s="94"/>
      <c r="J111" s="94"/>
      <c r="K111" s="94"/>
      <c r="L111" s="94"/>
      <c r="M111" s="94"/>
      <c r="N111" s="94"/>
      <c r="O111" s="94"/>
      <c r="P111" s="94"/>
      <c r="Q111" s="94"/>
      <c r="R111" s="94"/>
      <c r="S111" s="94"/>
      <c r="T111" s="94"/>
      <c r="U111" s="94"/>
      <c r="V111" s="94"/>
      <c r="W111" s="94"/>
      <c r="X111" s="94"/>
      <c r="Y111" s="94"/>
    </row>
    <row r="112">
      <c r="A112" s="1"/>
      <c r="B112" s="44"/>
      <c r="D112" s="44"/>
      <c r="E112" s="94"/>
      <c r="F112" s="94"/>
      <c r="G112" s="94"/>
      <c r="H112" s="94"/>
      <c r="I112" s="94"/>
      <c r="J112" s="94"/>
      <c r="K112" s="94"/>
      <c r="L112" s="94"/>
      <c r="M112" s="94"/>
      <c r="N112" s="94"/>
      <c r="O112" s="94"/>
      <c r="P112" s="94"/>
      <c r="Q112" s="94"/>
      <c r="R112" s="94"/>
      <c r="S112" s="94"/>
      <c r="T112" s="94"/>
      <c r="U112" s="94"/>
      <c r="V112" s="94"/>
      <c r="W112" s="94"/>
      <c r="X112" s="94"/>
      <c r="Y112" s="94"/>
    </row>
    <row r="113">
      <c r="A113" s="1"/>
      <c r="B113" s="44"/>
      <c r="D113" s="44"/>
      <c r="E113" s="94"/>
      <c r="F113" s="94"/>
      <c r="G113" s="94"/>
      <c r="H113" s="94"/>
      <c r="I113" s="94"/>
      <c r="J113" s="94"/>
      <c r="K113" s="94"/>
      <c r="L113" s="94"/>
      <c r="M113" s="94"/>
      <c r="N113" s="94"/>
      <c r="O113" s="94"/>
      <c r="P113" s="94"/>
      <c r="Q113" s="94"/>
      <c r="R113" s="94"/>
      <c r="S113" s="94"/>
      <c r="T113" s="94"/>
      <c r="U113" s="94"/>
      <c r="V113" s="94"/>
      <c r="W113" s="94"/>
      <c r="X113" s="94"/>
      <c r="Y113" s="94"/>
    </row>
    <row r="114">
      <c r="A114" s="1"/>
      <c r="B114" s="44"/>
      <c r="D114" s="44"/>
      <c r="E114" s="94"/>
      <c r="F114" s="94"/>
      <c r="G114" s="94"/>
      <c r="H114" s="94"/>
      <c r="I114" s="94"/>
      <c r="J114" s="94"/>
      <c r="K114" s="94"/>
      <c r="L114" s="94"/>
      <c r="M114" s="94"/>
      <c r="N114" s="94"/>
      <c r="O114" s="94"/>
      <c r="P114" s="94"/>
      <c r="Q114" s="94"/>
      <c r="R114" s="94"/>
      <c r="S114" s="94"/>
      <c r="T114" s="94"/>
      <c r="U114" s="94"/>
      <c r="V114" s="94"/>
      <c r="W114" s="94"/>
      <c r="X114" s="94"/>
      <c r="Y114" s="94"/>
    </row>
    <row r="115">
      <c r="A115" s="1"/>
      <c r="B115" s="44"/>
      <c r="D115" s="44"/>
      <c r="E115" s="94"/>
      <c r="F115" s="94"/>
      <c r="G115" s="94"/>
      <c r="H115" s="94"/>
      <c r="I115" s="94"/>
      <c r="J115" s="94"/>
      <c r="K115" s="94"/>
      <c r="L115" s="94"/>
      <c r="M115" s="94"/>
      <c r="N115" s="94"/>
      <c r="O115" s="94"/>
      <c r="P115" s="94"/>
      <c r="Q115" s="94"/>
      <c r="R115" s="94"/>
      <c r="S115" s="94"/>
      <c r="T115" s="94"/>
      <c r="U115" s="94"/>
      <c r="V115" s="94"/>
      <c r="W115" s="94"/>
      <c r="X115" s="94"/>
      <c r="Y115" s="94"/>
    </row>
    <row r="116">
      <c r="A116" s="1"/>
      <c r="B116" s="44"/>
      <c r="D116" s="44"/>
      <c r="E116" s="94"/>
      <c r="F116" s="94"/>
      <c r="G116" s="94"/>
      <c r="H116" s="94"/>
      <c r="I116" s="94"/>
      <c r="J116" s="94"/>
      <c r="K116" s="94"/>
      <c r="L116" s="94"/>
      <c r="M116" s="94"/>
      <c r="N116" s="94"/>
      <c r="O116" s="94"/>
      <c r="P116" s="94"/>
      <c r="Q116" s="94"/>
      <c r="R116" s="94"/>
      <c r="S116" s="94"/>
      <c r="T116" s="94"/>
      <c r="U116" s="94"/>
      <c r="V116" s="94"/>
      <c r="W116" s="94"/>
      <c r="X116" s="94"/>
      <c r="Y116" s="94"/>
    </row>
    <row r="117">
      <c r="A117" s="1"/>
      <c r="B117" s="44"/>
      <c r="D117" s="44"/>
      <c r="E117" s="94"/>
      <c r="F117" s="94"/>
      <c r="G117" s="94"/>
      <c r="H117" s="94"/>
      <c r="I117" s="94"/>
      <c r="J117" s="94"/>
      <c r="K117" s="94"/>
      <c r="L117" s="94"/>
      <c r="M117" s="94"/>
      <c r="N117" s="94"/>
      <c r="O117" s="94"/>
      <c r="P117" s="94"/>
      <c r="Q117" s="94"/>
      <c r="R117" s="94"/>
      <c r="S117" s="94"/>
      <c r="T117" s="94"/>
      <c r="U117" s="94"/>
      <c r="V117" s="94"/>
      <c r="W117" s="94"/>
      <c r="X117" s="94"/>
      <c r="Y117" s="94"/>
    </row>
    <row r="118">
      <c r="A118" s="1"/>
      <c r="B118" s="44"/>
      <c r="D118" s="44"/>
      <c r="E118" s="94"/>
      <c r="F118" s="94"/>
      <c r="G118" s="94"/>
      <c r="H118" s="94"/>
      <c r="I118" s="94"/>
      <c r="J118" s="94"/>
      <c r="K118" s="94"/>
      <c r="L118" s="94"/>
      <c r="M118" s="94"/>
      <c r="N118" s="94"/>
      <c r="O118" s="94"/>
      <c r="P118" s="94"/>
      <c r="Q118" s="94"/>
      <c r="R118" s="94"/>
      <c r="S118" s="94"/>
      <c r="T118" s="94"/>
      <c r="U118" s="94"/>
      <c r="V118" s="94"/>
      <c r="W118" s="94"/>
      <c r="X118" s="94"/>
      <c r="Y118" s="94"/>
    </row>
    <row r="119">
      <c r="A119" s="1"/>
      <c r="B119" s="44"/>
      <c r="D119" s="44"/>
      <c r="E119" s="94"/>
      <c r="F119" s="94"/>
      <c r="G119" s="94"/>
      <c r="H119" s="94"/>
      <c r="I119" s="94"/>
      <c r="J119" s="94"/>
      <c r="K119" s="94"/>
      <c r="L119" s="94"/>
      <c r="M119" s="94"/>
      <c r="N119" s="94"/>
      <c r="O119" s="94"/>
      <c r="P119" s="94"/>
      <c r="Q119" s="94"/>
      <c r="R119" s="94"/>
      <c r="S119" s="94"/>
      <c r="T119" s="94"/>
      <c r="U119" s="94"/>
      <c r="V119" s="94"/>
      <c r="W119" s="94"/>
      <c r="X119" s="94"/>
      <c r="Y119" s="94"/>
    </row>
    <row r="120">
      <c r="A120" s="1"/>
      <c r="B120" s="44"/>
      <c r="D120" s="44"/>
      <c r="E120" s="94"/>
      <c r="F120" s="94"/>
      <c r="G120" s="94"/>
      <c r="H120" s="94"/>
      <c r="I120" s="94"/>
      <c r="J120" s="94"/>
      <c r="K120" s="94"/>
      <c r="L120" s="94"/>
      <c r="M120" s="94"/>
      <c r="N120" s="94"/>
      <c r="O120" s="94"/>
      <c r="P120" s="94"/>
      <c r="Q120" s="94"/>
      <c r="R120" s="94"/>
      <c r="S120" s="94"/>
      <c r="T120" s="94"/>
      <c r="U120" s="94"/>
      <c r="V120" s="94"/>
      <c r="W120" s="94"/>
      <c r="X120" s="94"/>
      <c r="Y120" s="94"/>
    </row>
    <row r="121">
      <c r="A121" s="1"/>
      <c r="B121" s="44"/>
      <c r="D121" s="44"/>
      <c r="E121" s="94"/>
      <c r="F121" s="94"/>
      <c r="G121" s="94"/>
      <c r="H121" s="94"/>
      <c r="I121" s="94"/>
      <c r="J121" s="94"/>
      <c r="K121" s="94"/>
      <c r="L121" s="94"/>
      <c r="M121" s="94"/>
      <c r="N121" s="94"/>
      <c r="O121" s="94"/>
      <c r="P121" s="94"/>
      <c r="Q121" s="94"/>
      <c r="R121" s="94"/>
      <c r="S121" s="94"/>
      <c r="T121" s="94"/>
      <c r="U121" s="94"/>
      <c r="V121" s="94"/>
      <c r="W121" s="94"/>
      <c r="X121" s="94"/>
      <c r="Y121" s="94"/>
    </row>
    <row r="122">
      <c r="A122" s="1"/>
      <c r="B122" s="44"/>
      <c r="D122" s="44"/>
      <c r="E122" s="94"/>
      <c r="F122" s="94"/>
      <c r="G122" s="94"/>
      <c r="H122" s="94"/>
      <c r="I122" s="94"/>
      <c r="J122" s="94"/>
      <c r="K122" s="94"/>
      <c r="L122" s="94"/>
      <c r="M122" s="94"/>
      <c r="N122" s="94"/>
      <c r="O122" s="94"/>
      <c r="P122" s="94"/>
      <c r="Q122" s="94"/>
      <c r="R122" s="94"/>
      <c r="S122" s="94"/>
      <c r="T122" s="94"/>
      <c r="U122" s="94"/>
      <c r="V122" s="94"/>
      <c r="W122" s="94"/>
      <c r="X122" s="94"/>
      <c r="Y122" s="94"/>
    </row>
    <row r="123">
      <c r="A123" s="1"/>
      <c r="B123" s="44"/>
      <c r="D123" s="44"/>
      <c r="E123" s="94"/>
      <c r="F123" s="94"/>
      <c r="G123" s="94"/>
      <c r="H123" s="94"/>
      <c r="I123" s="94"/>
      <c r="J123" s="94"/>
      <c r="K123" s="94"/>
      <c r="L123" s="94"/>
      <c r="M123" s="94"/>
      <c r="N123" s="94"/>
      <c r="O123" s="94"/>
      <c r="P123" s="94"/>
      <c r="Q123" s="94"/>
      <c r="R123" s="94"/>
      <c r="S123" s="94"/>
      <c r="T123" s="94"/>
      <c r="U123" s="94"/>
      <c r="V123" s="94"/>
      <c r="W123" s="94"/>
      <c r="X123" s="94"/>
      <c r="Y123" s="94"/>
    </row>
    <row r="124">
      <c r="A124" s="1"/>
      <c r="B124" s="44"/>
      <c r="D124" s="44"/>
      <c r="E124" s="94"/>
      <c r="F124" s="94"/>
      <c r="G124" s="94"/>
      <c r="H124" s="94"/>
      <c r="I124" s="94"/>
      <c r="J124" s="94"/>
      <c r="K124" s="94"/>
      <c r="L124" s="94"/>
      <c r="M124" s="94"/>
      <c r="N124" s="94"/>
      <c r="O124" s="94"/>
      <c r="P124" s="94"/>
      <c r="Q124" s="94"/>
      <c r="R124" s="94"/>
      <c r="S124" s="94"/>
      <c r="T124" s="94"/>
      <c r="U124" s="94"/>
      <c r="V124" s="94"/>
      <c r="W124" s="94"/>
      <c r="X124" s="94"/>
      <c r="Y124" s="94"/>
    </row>
    <row r="125">
      <c r="A125" s="1"/>
      <c r="B125" s="44"/>
      <c r="D125" s="44"/>
      <c r="E125" s="94"/>
      <c r="F125" s="94"/>
      <c r="G125" s="94"/>
      <c r="H125" s="94"/>
      <c r="I125" s="94"/>
      <c r="J125" s="94"/>
      <c r="K125" s="94"/>
      <c r="L125" s="94"/>
      <c r="M125" s="94"/>
      <c r="N125" s="94"/>
      <c r="O125" s="94"/>
      <c r="P125" s="94"/>
      <c r="Q125" s="94"/>
      <c r="R125" s="94"/>
      <c r="S125" s="94"/>
      <c r="T125" s="94"/>
      <c r="U125" s="94"/>
      <c r="V125" s="94"/>
      <c r="W125" s="94"/>
      <c r="X125" s="94"/>
      <c r="Y125" s="94"/>
    </row>
    <row r="126">
      <c r="A126" s="1"/>
      <c r="B126" s="44"/>
      <c r="D126" s="44"/>
      <c r="E126" s="94"/>
      <c r="F126" s="94"/>
      <c r="G126" s="94"/>
      <c r="H126" s="94"/>
      <c r="I126" s="94"/>
      <c r="J126" s="94"/>
      <c r="K126" s="94"/>
      <c r="L126" s="94"/>
      <c r="M126" s="94"/>
      <c r="N126" s="94"/>
      <c r="O126" s="94"/>
      <c r="P126" s="94"/>
      <c r="Q126" s="94"/>
      <c r="R126" s="94"/>
      <c r="S126" s="94"/>
      <c r="T126" s="94"/>
      <c r="U126" s="94"/>
      <c r="V126" s="94"/>
      <c r="W126" s="94"/>
      <c r="X126" s="94"/>
      <c r="Y126" s="94"/>
    </row>
    <row r="127">
      <c r="A127" s="1"/>
      <c r="B127" s="44"/>
      <c r="D127" s="44"/>
      <c r="E127" s="94"/>
      <c r="F127" s="94"/>
      <c r="G127" s="94"/>
      <c r="H127" s="94"/>
      <c r="I127" s="94"/>
      <c r="J127" s="94"/>
      <c r="K127" s="94"/>
      <c r="L127" s="94"/>
      <c r="M127" s="94"/>
      <c r="N127" s="94"/>
      <c r="O127" s="94"/>
      <c r="P127" s="94"/>
      <c r="Q127" s="94"/>
      <c r="R127" s="94"/>
      <c r="S127" s="94"/>
      <c r="T127" s="94"/>
      <c r="U127" s="94"/>
      <c r="V127" s="94"/>
      <c r="W127" s="94"/>
      <c r="X127" s="94"/>
      <c r="Y127" s="94"/>
    </row>
    <row r="128">
      <c r="A128" s="1"/>
      <c r="B128" s="44"/>
      <c r="D128" s="44"/>
      <c r="E128" s="94"/>
      <c r="F128" s="94"/>
      <c r="G128" s="94"/>
      <c r="H128" s="94"/>
      <c r="I128" s="94"/>
      <c r="J128" s="94"/>
      <c r="K128" s="94"/>
      <c r="L128" s="94"/>
      <c r="M128" s="94"/>
      <c r="N128" s="94"/>
      <c r="O128" s="94"/>
      <c r="P128" s="94"/>
      <c r="Q128" s="94"/>
      <c r="R128" s="94"/>
      <c r="S128" s="94"/>
      <c r="T128" s="94"/>
      <c r="U128" s="94"/>
      <c r="V128" s="94"/>
      <c r="W128" s="94"/>
      <c r="X128" s="94"/>
      <c r="Y128" s="94"/>
    </row>
    <row r="129">
      <c r="A129" s="1"/>
      <c r="B129" s="44"/>
      <c r="D129" s="44"/>
      <c r="E129" s="94"/>
      <c r="F129" s="94"/>
      <c r="G129" s="94"/>
      <c r="H129" s="94"/>
      <c r="I129" s="94"/>
      <c r="J129" s="94"/>
      <c r="K129" s="94"/>
      <c r="L129" s="94"/>
      <c r="M129" s="94"/>
      <c r="N129" s="94"/>
      <c r="O129" s="94"/>
      <c r="P129" s="94"/>
      <c r="Q129" s="94"/>
      <c r="R129" s="94"/>
      <c r="S129" s="94"/>
      <c r="T129" s="94"/>
      <c r="U129" s="94"/>
      <c r="V129" s="94"/>
      <c r="W129" s="94"/>
      <c r="X129" s="94"/>
      <c r="Y129" s="94"/>
    </row>
    <row r="130">
      <c r="A130" s="1"/>
      <c r="B130" s="44"/>
      <c r="D130" s="44"/>
      <c r="E130" s="94"/>
      <c r="F130" s="94"/>
      <c r="G130" s="94"/>
      <c r="H130" s="94"/>
      <c r="I130" s="94"/>
      <c r="J130" s="94"/>
      <c r="K130" s="94"/>
      <c r="L130" s="94"/>
      <c r="M130" s="94"/>
      <c r="N130" s="94"/>
      <c r="O130" s="94"/>
      <c r="P130" s="94"/>
      <c r="Q130" s="94"/>
      <c r="R130" s="94"/>
      <c r="S130" s="94"/>
      <c r="T130" s="94"/>
      <c r="U130" s="94"/>
      <c r="V130" s="94"/>
      <c r="W130" s="94"/>
      <c r="X130" s="94"/>
      <c r="Y130" s="94"/>
    </row>
    <row r="131">
      <c r="A131" s="1"/>
      <c r="B131" s="44"/>
      <c r="D131" s="44"/>
      <c r="E131" s="94"/>
      <c r="F131" s="94"/>
      <c r="G131" s="94"/>
      <c r="H131" s="94"/>
      <c r="I131" s="94"/>
      <c r="J131" s="94"/>
      <c r="K131" s="94"/>
      <c r="L131" s="94"/>
      <c r="M131" s="94"/>
      <c r="N131" s="94"/>
      <c r="O131" s="94"/>
      <c r="P131" s="94"/>
      <c r="Q131" s="94"/>
      <c r="R131" s="94"/>
      <c r="S131" s="94"/>
      <c r="T131" s="94"/>
      <c r="U131" s="94"/>
      <c r="V131" s="94"/>
      <c r="W131" s="94"/>
      <c r="X131" s="94"/>
      <c r="Y131" s="94"/>
    </row>
    <row r="132">
      <c r="A132" s="1"/>
      <c r="B132" s="44"/>
      <c r="D132" s="44"/>
      <c r="E132" s="94"/>
      <c r="F132" s="94"/>
      <c r="G132" s="94"/>
      <c r="H132" s="94"/>
      <c r="I132" s="94"/>
      <c r="J132" s="94"/>
      <c r="K132" s="94"/>
      <c r="L132" s="94"/>
      <c r="M132" s="94"/>
      <c r="N132" s="94"/>
      <c r="O132" s="94"/>
      <c r="P132" s="94"/>
      <c r="Q132" s="94"/>
      <c r="R132" s="94"/>
      <c r="S132" s="94"/>
      <c r="T132" s="94"/>
      <c r="U132" s="94"/>
      <c r="V132" s="94"/>
      <c r="W132" s="94"/>
      <c r="X132" s="94"/>
      <c r="Y132" s="94"/>
    </row>
    <row r="133">
      <c r="A133" s="1"/>
      <c r="B133" s="44"/>
      <c r="D133" s="44"/>
      <c r="E133" s="94"/>
      <c r="F133" s="94"/>
      <c r="G133" s="94"/>
      <c r="H133" s="94"/>
      <c r="I133" s="94"/>
      <c r="J133" s="94"/>
      <c r="K133" s="94"/>
      <c r="L133" s="94"/>
      <c r="M133" s="94"/>
      <c r="N133" s="94"/>
      <c r="O133" s="94"/>
      <c r="P133" s="94"/>
      <c r="Q133" s="94"/>
      <c r="R133" s="94"/>
      <c r="S133" s="94"/>
      <c r="T133" s="94"/>
      <c r="U133" s="94"/>
      <c r="V133" s="94"/>
      <c r="W133" s="94"/>
      <c r="X133" s="94"/>
      <c r="Y133" s="94"/>
    </row>
    <row r="134">
      <c r="A134" s="1"/>
      <c r="B134" s="44"/>
      <c r="D134" s="44"/>
      <c r="E134" s="94"/>
      <c r="F134" s="94"/>
      <c r="G134" s="94"/>
      <c r="H134" s="94"/>
      <c r="I134" s="94"/>
      <c r="J134" s="94"/>
      <c r="K134" s="94"/>
      <c r="L134" s="94"/>
      <c r="M134" s="94"/>
      <c r="N134" s="94"/>
      <c r="O134" s="94"/>
      <c r="P134" s="94"/>
      <c r="Q134" s="94"/>
      <c r="R134" s="94"/>
      <c r="S134" s="94"/>
      <c r="T134" s="94"/>
      <c r="U134" s="94"/>
      <c r="V134" s="94"/>
      <c r="W134" s="94"/>
      <c r="X134" s="94"/>
      <c r="Y134" s="94"/>
    </row>
    <row r="135">
      <c r="A135" s="1"/>
      <c r="B135" s="44"/>
      <c r="D135" s="44"/>
      <c r="E135" s="94"/>
      <c r="F135" s="94"/>
      <c r="G135" s="94"/>
      <c r="H135" s="94"/>
      <c r="I135" s="94"/>
      <c r="J135" s="94"/>
      <c r="K135" s="94"/>
      <c r="L135" s="94"/>
      <c r="M135" s="94"/>
      <c r="N135" s="94"/>
      <c r="O135" s="94"/>
      <c r="P135" s="94"/>
      <c r="Q135" s="94"/>
      <c r="R135" s="94"/>
      <c r="S135" s="94"/>
      <c r="T135" s="94"/>
      <c r="U135" s="94"/>
      <c r="V135" s="94"/>
      <c r="W135" s="94"/>
      <c r="X135" s="94"/>
      <c r="Y135" s="94"/>
    </row>
    <row r="136">
      <c r="A136" s="1"/>
      <c r="B136" s="44"/>
      <c r="D136" s="44"/>
      <c r="E136" s="94"/>
      <c r="F136" s="94"/>
      <c r="G136" s="94"/>
      <c r="H136" s="94"/>
      <c r="I136" s="94"/>
      <c r="J136" s="94"/>
      <c r="K136" s="94"/>
      <c r="L136" s="94"/>
      <c r="M136" s="94"/>
      <c r="N136" s="94"/>
      <c r="O136" s="94"/>
      <c r="P136" s="94"/>
      <c r="Q136" s="94"/>
      <c r="R136" s="94"/>
      <c r="S136" s="94"/>
      <c r="T136" s="94"/>
      <c r="U136" s="94"/>
      <c r="V136" s="94"/>
      <c r="W136" s="94"/>
      <c r="X136" s="94"/>
      <c r="Y136" s="94"/>
    </row>
    <row r="137">
      <c r="A137" s="1"/>
      <c r="B137" s="44"/>
      <c r="D137" s="44"/>
      <c r="E137" s="94"/>
      <c r="F137" s="94"/>
      <c r="G137" s="94"/>
      <c r="H137" s="94"/>
      <c r="I137" s="94"/>
      <c r="J137" s="94"/>
      <c r="K137" s="94"/>
      <c r="L137" s="94"/>
      <c r="M137" s="94"/>
      <c r="N137" s="94"/>
      <c r="O137" s="94"/>
      <c r="P137" s="94"/>
      <c r="Q137" s="94"/>
      <c r="R137" s="94"/>
      <c r="S137" s="94"/>
      <c r="T137" s="94"/>
      <c r="U137" s="94"/>
      <c r="V137" s="94"/>
      <c r="W137" s="94"/>
      <c r="X137" s="94"/>
      <c r="Y137" s="94"/>
    </row>
    <row r="138">
      <c r="A138" s="1"/>
      <c r="B138" s="44"/>
      <c r="D138" s="44"/>
      <c r="E138" s="94"/>
      <c r="F138" s="94"/>
      <c r="G138" s="94"/>
      <c r="H138" s="94"/>
      <c r="I138" s="94"/>
      <c r="J138" s="94"/>
      <c r="K138" s="94"/>
      <c r="L138" s="94"/>
      <c r="M138" s="94"/>
      <c r="N138" s="94"/>
      <c r="O138" s="94"/>
      <c r="P138" s="94"/>
      <c r="Q138" s="94"/>
      <c r="R138" s="94"/>
      <c r="S138" s="94"/>
      <c r="T138" s="94"/>
      <c r="U138" s="94"/>
      <c r="V138" s="94"/>
      <c r="W138" s="94"/>
      <c r="X138" s="94"/>
      <c r="Y138" s="94"/>
    </row>
    <row r="139">
      <c r="A139" s="1"/>
      <c r="B139" s="44"/>
      <c r="D139" s="44"/>
      <c r="E139" s="94"/>
      <c r="F139" s="94"/>
      <c r="G139" s="94"/>
      <c r="H139" s="94"/>
      <c r="I139" s="94"/>
      <c r="J139" s="94"/>
      <c r="K139" s="94"/>
      <c r="L139" s="94"/>
      <c r="M139" s="94"/>
      <c r="N139" s="94"/>
      <c r="O139" s="94"/>
      <c r="P139" s="94"/>
      <c r="Q139" s="94"/>
      <c r="R139" s="94"/>
      <c r="S139" s="94"/>
      <c r="T139" s="94"/>
      <c r="U139" s="94"/>
      <c r="V139" s="94"/>
      <c r="W139" s="94"/>
      <c r="X139" s="94"/>
      <c r="Y139" s="94"/>
    </row>
    <row r="140">
      <c r="A140" s="1"/>
      <c r="B140" s="44"/>
      <c r="D140" s="44"/>
      <c r="E140" s="94"/>
      <c r="F140" s="94"/>
      <c r="G140" s="94"/>
      <c r="H140" s="94"/>
      <c r="I140" s="94"/>
      <c r="J140" s="94"/>
      <c r="K140" s="94"/>
      <c r="L140" s="94"/>
      <c r="M140" s="94"/>
      <c r="N140" s="94"/>
      <c r="O140" s="94"/>
      <c r="P140" s="94"/>
      <c r="Q140" s="94"/>
      <c r="R140" s="94"/>
      <c r="S140" s="94"/>
      <c r="T140" s="94"/>
      <c r="U140" s="94"/>
      <c r="V140" s="94"/>
      <c r="W140" s="94"/>
      <c r="X140" s="94"/>
      <c r="Y140" s="94"/>
    </row>
    <row r="141">
      <c r="A141" s="1"/>
      <c r="B141" s="44"/>
      <c r="D141" s="44"/>
      <c r="E141" s="94"/>
      <c r="F141" s="94"/>
      <c r="G141" s="94"/>
      <c r="H141" s="94"/>
      <c r="I141" s="94"/>
      <c r="J141" s="94"/>
      <c r="K141" s="94"/>
      <c r="L141" s="94"/>
      <c r="M141" s="94"/>
      <c r="N141" s="94"/>
      <c r="O141" s="94"/>
      <c r="P141" s="94"/>
      <c r="Q141" s="94"/>
      <c r="R141" s="94"/>
      <c r="S141" s="94"/>
      <c r="T141" s="94"/>
      <c r="U141" s="94"/>
      <c r="V141" s="94"/>
      <c r="W141" s="94"/>
      <c r="X141" s="94"/>
      <c r="Y141" s="94"/>
    </row>
    <row r="142">
      <c r="A142" s="1"/>
      <c r="B142" s="44"/>
      <c r="D142" s="44"/>
      <c r="E142" s="94"/>
      <c r="F142" s="94"/>
      <c r="G142" s="94"/>
      <c r="H142" s="94"/>
      <c r="I142" s="94"/>
      <c r="J142" s="94"/>
      <c r="K142" s="94"/>
      <c r="L142" s="94"/>
      <c r="M142" s="94"/>
      <c r="N142" s="94"/>
      <c r="O142" s="94"/>
      <c r="P142" s="94"/>
      <c r="Q142" s="94"/>
      <c r="R142" s="94"/>
      <c r="S142" s="94"/>
      <c r="T142" s="94"/>
      <c r="U142" s="94"/>
      <c r="V142" s="94"/>
      <c r="W142" s="94"/>
      <c r="X142" s="94"/>
      <c r="Y142" s="94"/>
    </row>
    <row r="143">
      <c r="A143" s="1"/>
      <c r="B143" s="44"/>
      <c r="D143" s="44"/>
      <c r="E143" s="94"/>
      <c r="F143" s="94"/>
      <c r="G143" s="94"/>
      <c r="H143" s="94"/>
      <c r="I143" s="94"/>
      <c r="J143" s="94"/>
      <c r="K143" s="94"/>
      <c r="L143" s="94"/>
      <c r="M143" s="94"/>
      <c r="N143" s="94"/>
      <c r="O143" s="94"/>
      <c r="P143" s="94"/>
      <c r="Q143" s="94"/>
      <c r="R143" s="94"/>
      <c r="S143" s="94"/>
      <c r="T143" s="94"/>
      <c r="U143" s="94"/>
      <c r="V143" s="94"/>
      <c r="W143" s="94"/>
      <c r="X143" s="94"/>
      <c r="Y143" s="94"/>
    </row>
    <row r="144">
      <c r="A144" s="1"/>
      <c r="B144" s="44"/>
      <c r="D144" s="44"/>
      <c r="E144" s="94"/>
      <c r="F144" s="94"/>
      <c r="G144" s="94"/>
      <c r="H144" s="94"/>
      <c r="I144" s="94"/>
      <c r="J144" s="94"/>
      <c r="K144" s="94"/>
      <c r="L144" s="94"/>
      <c r="M144" s="94"/>
      <c r="N144" s="94"/>
      <c r="O144" s="94"/>
      <c r="P144" s="94"/>
      <c r="Q144" s="94"/>
      <c r="R144" s="94"/>
      <c r="S144" s="94"/>
      <c r="T144" s="94"/>
      <c r="U144" s="94"/>
      <c r="V144" s="94"/>
      <c r="W144" s="94"/>
      <c r="X144" s="94"/>
      <c r="Y144" s="94"/>
    </row>
    <row r="145">
      <c r="A145" s="1"/>
      <c r="B145" s="44"/>
      <c r="D145" s="44"/>
      <c r="E145" s="94"/>
      <c r="F145" s="94"/>
      <c r="G145" s="94"/>
      <c r="H145" s="94"/>
      <c r="I145" s="94"/>
      <c r="J145" s="94"/>
      <c r="K145" s="94"/>
      <c r="L145" s="94"/>
      <c r="M145" s="94"/>
      <c r="N145" s="94"/>
      <c r="O145" s="94"/>
      <c r="P145" s="94"/>
      <c r="Q145" s="94"/>
      <c r="R145" s="94"/>
      <c r="S145" s="94"/>
      <c r="T145" s="94"/>
      <c r="U145" s="94"/>
      <c r="V145" s="94"/>
      <c r="W145" s="94"/>
      <c r="X145" s="94"/>
      <c r="Y145" s="94"/>
    </row>
    <row r="146">
      <c r="A146" s="1"/>
      <c r="B146" s="44"/>
      <c r="D146" s="44"/>
      <c r="E146" s="94"/>
      <c r="F146" s="94"/>
      <c r="G146" s="94"/>
      <c r="H146" s="94"/>
      <c r="I146" s="94"/>
      <c r="J146" s="94"/>
      <c r="K146" s="94"/>
      <c r="L146" s="94"/>
      <c r="M146" s="94"/>
      <c r="N146" s="94"/>
      <c r="O146" s="94"/>
      <c r="P146" s="94"/>
      <c r="Q146" s="94"/>
      <c r="R146" s="94"/>
      <c r="S146" s="94"/>
      <c r="T146" s="94"/>
      <c r="U146" s="94"/>
      <c r="V146" s="94"/>
      <c r="W146" s="94"/>
      <c r="X146" s="94"/>
      <c r="Y146" s="94"/>
    </row>
    <row r="147">
      <c r="A147" s="1"/>
      <c r="B147" s="44"/>
      <c r="D147" s="44"/>
      <c r="E147" s="94"/>
      <c r="F147" s="94"/>
      <c r="G147" s="94"/>
      <c r="H147" s="94"/>
      <c r="I147" s="94"/>
      <c r="J147" s="94"/>
      <c r="K147" s="94"/>
      <c r="L147" s="94"/>
      <c r="M147" s="94"/>
      <c r="N147" s="94"/>
      <c r="O147" s="94"/>
      <c r="P147" s="94"/>
      <c r="Q147" s="94"/>
      <c r="R147" s="94"/>
      <c r="S147" s="94"/>
      <c r="T147" s="94"/>
      <c r="U147" s="94"/>
      <c r="V147" s="94"/>
      <c r="W147" s="94"/>
      <c r="X147" s="94"/>
      <c r="Y147" s="94"/>
    </row>
    <row r="148">
      <c r="A148" s="1"/>
      <c r="B148" s="44"/>
      <c r="D148" s="44"/>
      <c r="E148" s="94"/>
      <c r="F148" s="94"/>
      <c r="G148" s="94"/>
      <c r="H148" s="94"/>
      <c r="I148" s="94"/>
      <c r="J148" s="94"/>
      <c r="K148" s="94"/>
      <c r="L148" s="94"/>
      <c r="M148" s="94"/>
      <c r="N148" s="94"/>
      <c r="O148" s="94"/>
      <c r="P148" s="94"/>
      <c r="Q148" s="94"/>
      <c r="R148" s="94"/>
      <c r="S148" s="94"/>
      <c r="T148" s="94"/>
      <c r="U148" s="94"/>
      <c r="V148" s="94"/>
      <c r="W148" s="94"/>
      <c r="X148" s="94"/>
      <c r="Y148" s="94"/>
    </row>
    <row r="149">
      <c r="A149" s="1"/>
      <c r="B149" s="44"/>
      <c r="D149" s="44"/>
      <c r="E149" s="94"/>
      <c r="F149" s="94"/>
      <c r="G149" s="94"/>
      <c r="H149" s="94"/>
      <c r="I149" s="94"/>
      <c r="J149" s="94"/>
      <c r="K149" s="94"/>
      <c r="L149" s="94"/>
      <c r="M149" s="94"/>
      <c r="N149" s="94"/>
      <c r="O149" s="94"/>
      <c r="P149" s="94"/>
      <c r="Q149" s="94"/>
      <c r="R149" s="94"/>
      <c r="S149" s="94"/>
      <c r="T149" s="94"/>
      <c r="U149" s="94"/>
      <c r="V149" s="94"/>
      <c r="W149" s="94"/>
      <c r="X149" s="94"/>
      <c r="Y149" s="94"/>
    </row>
    <row r="150">
      <c r="A150" s="1"/>
      <c r="B150" s="44"/>
      <c r="D150" s="44"/>
      <c r="E150" s="94"/>
      <c r="F150" s="94"/>
      <c r="G150" s="94"/>
      <c r="H150" s="94"/>
      <c r="I150" s="94"/>
      <c r="J150" s="94"/>
      <c r="K150" s="94"/>
      <c r="L150" s="94"/>
      <c r="M150" s="94"/>
      <c r="N150" s="94"/>
      <c r="O150" s="94"/>
      <c r="P150" s="94"/>
      <c r="Q150" s="94"/>
      <c r="R150" s="94"/>
      <c r="S150" s="94"/>
      <c r="T150" s="94"/>
      <c r="U150" s="94"/>
      <c r="V150" s="94"/>
      <c r="W150" s="94"/>
      <c r="X150" s="94"/>
      <c r="Y150" s="94"/>
    </row>
    <row r="151">
      <c r="A151" s="1"/>
      <c r="B151" s="44"/>
      <c r="D151" s="44"/>
      <c r="E151" s="94"/>
      <c r="F151" s="94"/>
      <c r="G151" s="94"/>
      <c r="H151" s="94"/>
      <c r="I151" s="94"/>
      <c r="J151" s="94"/>
      <c r="K151" s="94"/>
      <c r="L151" s="94"/>
      <c r="M151" s="94"/>
      <c r="N151" s="94"/>
      <c r="O151" s="94"/>
      <c r="P151" s="94"/>
      <c r="Q151" s="94"/>
      <c r="R151" s="94"/>
      <c r="S151" s="94"/>
      <c r="T151" s="94"/>
      <c r="U151" s="94"/>
      <c r="V151" s="94"/>
      <c r="W151" s="94"/>
      <c r="X151" s="94"/>
      <c r="Y151" s="94"/>
    </row>
    <row r="152">
      <c r="A152" s="1"/>
      <c r="B152" s="44"/>
      <c r="D152" s="44"/>
      <c r="E152" s="94"/>
      <c r="F152" s="94"/>
      <c r="G152" s="94"/>
      <c r="H152" s="94"/>
      <c r="I152" s="94"/>
      <c r="J152" s="94"/>
      <c r="K152" s="94"/>
      <c r="L152" s="94"/>
      <c r="M152" s="94"/>
      <c r="N152" s="94"/>
      <c r="O152" s="94"/>
      <c r="P152" s="94"/>
      <c r="Q152" s="94"/>
      <c r="R152" s="94"/>
      <c r="S152" s="94"/>
      <c r="T152" s="94"/>
      <c r="U152" s="94"/>
      <c r="V152" s="94"/>
      <c r="W152" s="94"/>
      <c r="X152" s="94"/>
      <c r="Y152" s="94"/>
    </row>
    <row r="153">
      <c r="A153" s="1"/>
      <c r="B153" s="44"/>
      <c r="D153" s="44"/>
      <c r="E153" s="94"/>
      <c r="F153" s="94"/>
      <c r="G153" s="94"/>
      <c r="H153" s="94"/>
      <c r="I153" s="94"/>
      <c r="J153" s="94"/>
      <c r="K153" s="94"/>
      <c r="L153" s="94"/>
      <c r="M153" s="94"/>
      <c r="N153" s="94"/>
      <c r="O153" s="94"/>
      <c r="P153" s="94"/>
      <c r="Q153" s="94"/>
      <c r="R153" s="94"/>
      <c r="S153" s="94"/>
      <c r="T153" s="94"/>
      <c r="U153" s="94"/>
      <c r="V153" s="94"/>
      <c r="W153" s="94"/>
      <c r="X153" s="94"/>
      <c r="Y153" s="94"/>
    </row>
    <row r="154">
      <c r="A154" s="1"/>
      <c r="B154" s="44"/>
      <c r="D154" s="44"/>
      <c r="E154" s="94"/>
      <c r="F154" s="94"/>
      <c r="G154" s="94"/>
      <c r="H154" s="94"/>
      <c r="I154" s="94"/>
      <c r="J154" s="94"/>
      <c r="K154" s="94"/>
      <c r="L154" s="94"/>
      <c r="M154" s="94"/>
      <c r="N154" s="94"/>
      <c r="O154" s="94"/>
      <c r="P154" s="94"/>
      <c r="Q154" s="94"/>
      <c r="R154" s="94"/>
      <c r="S154" s="94"/>
      <c r="T154" s="94"/>
      <c r="U154" s="94"/>
      <c r="V154" s="94"/>
      <c r="W154" s="94"/>
      <c r="X154" s="94"/>
      <c r="Y154" s="94"/>
    </row>
    <row r="155">
      <c r="A155" s="1"/>
      <c r="B155" s="44"/>
      <c r="D155" s="44"/>
      <c r="E155" s="94"/>
      <c r="F155" s="94"/>
      <c r="G155" s="94"/>
      <c r="H155" s="94"/>
      <c r="I155" s="94"/>
      <c r="J155" s="94"/>
      <c r="K155" s="94"/>
      <c r="L155" s="94"/>
      <c r="M155" s="94"/>
      <c r="N155" s="94"/>
      <c r="O155" s="94"/>
      <c r="P155" s="94"/>
      <c r="Q155" s="94"/>
      <c r="R155" s="94"/>
      <c r="S155" s="94"/>
      <c r="T155" s="94"/>
      <c r="U155" s="94"/>
      <c r="V155" s="94"/>
      <c r="W155" s="94"/>
      <c r="X155" s="94"/>
      <c r="Y155" s="94"/>
    </row>
    <row r="156">
      <c r="A156" s="1"/>
      <c r="B156" s="44"/>
      <c r="D156" s="44"/>
      <c r="E156" s="94"/>
      <c r="F156" s="94"/>
      <c r="G156" s="94"/>
      <c r="H156" s="94"/>
      <c r="I156" s="94"/>
      <c r="J156" s="94"/>
      <c r="K156" s="94"/>
      <c r="L156" s="94"/>
      <c r="M156" s="94"/>
      <c r="N156" s="94"/>
      <c r="O156" s="94"/>
      <c r="P156" s="94"/>
      <c r="Q156" s="94"/>
      <c r="R156" s="94"/>
      <c r="S156" s="94"/>
      <c r="T156" s="94"/>
      <c r="U156" s="94"/>
      <c r="V156" s="94"/>
      <c r="W156" s="94"/>
      <c r="X156" s="94"/>
      <c r="Y156" s="94"/>
    </row>
    <row r="157">
      <c r="A157" s="1"/>
      <c r="B157" s="44"/>
      <c r="D157" s="44"/>
      <c r="E157" s="94"/>
      <c r="F157" s="94"/>
      <c r="G157" s="94"/>
      <c r="H157" s="94"/>
      <c r="I157" s="94"/>
      <c r="J157" s="94"/>
      <c r="K157" s="94"/>
      <c r="L157" s="94"/>
      <c r="M157" s="94"/>
      <c r="N157" s="94"/>
      <c r="O157" s="94"/>
      <c r="P157" s="94"/>
      <c r="Q157" s="94"/>
      <c r="R157" s="94"/>
      <c r="S157" s="94"/>
      <c r="T157" s="94"/>
      <c r="U157" s="94"/>
      <c r="V157" s="94"/>
      <c r="W157" s="94"/>
      <c r="X157" s="94"/>
      <c r="Y157" s="94"/>
    </row>
    <row r="158">
      <c r="A158" s="1"/>
      <c r="B158" s="44"/>
      <c r="D158" s="44"/>
      <c r="E158" s="94"/>
      <c r="F158" s="94"/>
      <c r="G158" s="94"/>
      <c r="H158" s="94"/>
      <c r="I158" s="94"/>
      <c r="J158" s="94"/>
      <c r="K158" s="94"/>
      <c r="L158" s="94"/>
      <c r="M158" s="94"/>
      <c r="N158" s="94"/>
      <c r="O158" s="94"/>
      <c r="P158" s="94"/>
      <c r="Q158" s="94"/>
      <c r="R158" s="94"/>
      <c r="S158" s="94"/>
      <c r="T158" s="94"/>
      <c r="U158" s="94"/>
      <c r="V158" s="94"/>
      <c r="W158" s="94"/>
      <c r="X158" s="94"/>
      <c r="Y158" s="94"/>
    </row>
    <row r="159">
      <c r="A159" s="1"/>
      <c r="B159" s="44"/>
      <c r="D159" s="44"/>
      <c r="E159" s="94"/>
      <c r="F159" s="94"/>
      <c r="G159" s="94"/>
      <c r="H159" s="94"/>
      <c r="I159" s="94"/>
      <c r="J159" s="94"/>
      <c r="K159" s="94"/>
      <c r="L159" s="94"/>
      <c r="M159" s="94"/>
      <c r="N159" s="94"/>
      <c r="O159" s="94"/>
      <c r="P159" s="94"/>
      <c r="Q159" s="94"/>
      <c r="R159" s="94"/>
      <c r="S159" s="94"/>
      <c r="T159" s="94"/>
      <c r="U159" s="94"/>
      <c r="V159" s="94"/>
      <c r="W159" s="94"/>
      <c r="X159" s="94"/>
      <c r="Y159" s="94"/>
    </row>
    <row r="160">
      <c r="A160" s="1"/>
      <c r="B160" s="44"/>
      <c r="D160" s="44"/>
      <c r="E160" s="94"/>
      <c r="F160" s="94"/>
      <c r="G160" s="94"/>
      <c r="H160" s="94"/>
      <c r="I160" s="94"/>
      <c r="J160" s="94"/>
      <c r="K160" s="94"/>
      <c r="L160" s="94"/>
      <c r="M160" s="94"/>
      <c r="N160" s="94"/>
      <c r="O160" s="94"/>
      <c r="P160" s="94"/>
      <c r="Q160" s="94"/>
      <c r="R160" s="94"/>
      <c r="S160" s="94"/>
      <c r="T160" s="94"/>
      <c r="U160" s="94"/>
      <c r="V160" s="94"/>
      <c r="W160" s="94"/>
      <c r="X160" s="94"/>
      <c r="Y160" s="94"/>
    </row>
    <row r="161">
      <c r="A161" s="1"/>
      <c r="B161" s="44"/>
      <c r="D161" s="44"/>
      <c r="E161" s="94"/>
      <c r="F161" s="94"/>
      <c r="G161" s="94"/>
      <c r="H161" s="94"/>
      <c r="I161" s="94"/>
      <c r="J161" s="94"/>
      <c r="K161" s="94"/>
      <c r="L161" s="94"/>
      <c r="M161" s="94"/>
      <c r="N161" s="94"/>
      <c r="O161" s="94"/>
      <c r="P161" s="94"/>
      <c r="Q161" s="94"/>
      <c r="R161" s="94"/>
      <c r="S161" s="94"/>
      <c r="T161" s="94"/>
      <c r="U161" s="94"/>
      <c r="V161" s="94"/>
      <c r="W161" s="94"/>
      <c r="X161" s="94"/>
      <c r="Y161" s="94"/>
    </row>
    <row r="162">
      <c r="A162" s="1"/>
      <c r="B162" s="44"/>
      <c r="D162" s="44"/>
      <c r="E162" s="94"/>
      <c r="F162" s="94"/>
      <c r="G162" s="94"/>
      <c r="H162" s="94"/>
      <c r="I162" s="94"/>
      <c r="J162" s="94"/>
      <c r="K162" s="94"/>
      <c r="L162" s="94"/>
      <c r="M162" s="94"/>
      <c r="N162" s="94"/>
      <c r="O162" s="94"/>
      <c r="P162" s="94"/>
      <c r="Q162" s="94"/>
      <c r="R162" s="94"/>
      <c r="S162" s="94"/>
      <c r="T162" s="94"/>
      <c r="U162" s="94"/>
      <c r="V162" s="94"/>
      <c r="W162" s="94"/>
      <c r="X162" s="94"/>
      <c r="Y162" s="94"/>
    </row>
    <row r="163">
      <c r="A163" s="1"/>
      <c r="B163" s="44"/>
      <c r="D163" s="44"/>
      <c r="E163" s="94"/>
      <c r="F163" s="94"/>
      <c r="G163" s="94"/>
      <c r="H163" s="94"/>
      <c r="I163" s="94"/>
      <c r="J163" s="94"/>
      <c r="K163" s="94"/>
      <c r="L163" s="94"/>
      <c r="M163" s="94"/>
      <c r="N163" s="94"/>
      <c r="O163" s="94"/>
      <c r="P163" s="94"/>
      <c r="Q163" s="94"/>
      <c r="R163" s="94"/>
      <c r="S163" s="94"/>
      <c r="T163" s="94"/>
      <c r="U163" s="94"/>
      <c r="V163" s="94"/>
      <c r="W163" s="94"/>
      <c r="X163" s="94"/>
      <c r="Y163" s="94"/>
    </row>
    <row r="164">
      <c r="A164" s="1"/>
      <c r="B164" s="44"/>
      <c r="D164" s="44"/>
      <c r="E164" s="94"/>
      <c r="F164" s="94"/>
      <c r="G164" s="94"/>
      <c r="H164" s="94"/>
      <c r="I164" s="94"/>
      <c r="J164" s="94"/>
      <c r="K164" s="94"/>
      <c r="L164" s="94"/>
      <c r="M164" s="94"/>
      <c r="N164" s="94"/>
      <c r="O164" s="94"/>
      <c r="P164" s="94"/>
      <c r="Q164" s="94"/>
      <c r="R164" s="94"/>
      <c r="S164" s="94"/>
      <c r="T164" s="94"/>
      <c r="U164" s="94"/>
      <c r="V164" s="94"/>
      <c r="W164" s="94"/>
      <c r="X164" s="94"/>
      <c r="Y164" s="94"/>
    </row>
    <row r="165">
      <c r="A165" s="1"/>
      <c r="B165" s="44"/>
      <c r="D165" s="44"/>
      <c r="E165" s="94"/>
      <c r="F165" s="94"/>
      <c r="G165" s="94"/>
      <c r="H165" s="94"/>
      <c r="I165" s="94"/>
      <c r="J165" s="94"/>
      <c r="K165" s="94"/>
      <c r="L165" s="94"/>
      <c r="M165" s="94"/>
      <c r="N165" s="94"/>
      <c r="O165" s="94"/>
      <c r="P165" s="94"/>
      <c r="Q165" s="94"/>
      <c r="R165" s="94"/>
      <c r="S165" s="94"/>
      <c r="T165" s="94"/>
      <c r="U165" s="94"/>
      <c r="V165" s="94"/>
      <c r="W165" s="94"/>
      <c r="X165" s="94"/>
      <c r="Y165" s="94"/>
    </row>
    <row r="166">
      <c r="A166" s="1"/>
      <c r="B166" s="44"/>
      <c r="D166" s="44"/>
      <c r="E166" s="94"/>
      <c r="F166" s="94"/>
      <c r="G166" s="94"/>
      <c r="H166" s="94"/>
      <c r="I166" s="94"/>
      <c r="J166" s="94"/>
      <c r="K166" s="94"/>
      <c r="L166" s="94"/>
      <c r="M166" s="94"/>
      <c r="N166" s="94"/>
      <c r="O166" s="94"/>
      <c r="P166" s="94"/>
      <c r="Q166" s="94"/>
      <c r="R166" s="94"/>
      <c r="S166" s="94"/>
      <c r="T166" s="94"/>
      <c r="U166" s="94"/>
      <c r="V166" s="94"/>
      <c r="W166" s="94"/>
      <c r="X166" s="94"/>
      <c r="Y166" s="94"/>
    </row>
    <row r="167">
      <c r="A167" s="1"/>
      <c r="B167" s="44"/>
      <c r="D167" s="44"/>
      <c r="E167" s="94"/>
      <c r="F167" s="94"/>
      <c r="G167" s="94"/>
      <c r="H167" s="94"/>
      <c r="I167" s="94"/>
      <c r="J167" s="94"/>
      <c r="K167" s="94"/>
      <c r="L167" s="94"/>
      <c r="M167" s="94"/>
      <c r="N167" s="94"/>
      <c r="O167" s="94"/>
      <c r="P167" s="94"/>
      <c r="Q167" s="94"/>
      <c r="R167" s="94"/>
      <c r="S167" s="94"/>
      <c r="T167" s="94"/>
      <c r="U167" s="94"/>
      <c r="V167" s="94"/>
      <c r="W167" s="94"/>
      <c r="X167" s="94"/>
      <c r="Y167" s="94"/>
    </row>
    <row r="168">
      <c r="A168" s="1"/>
      <c r="B168" s="44"/>
      <c r="D168" s="44"/>
      <c r="E168" s="94"/>
      <c r="F168" s="94"/>
      <c r="G168" s="94"/>
      <c r="H168" s="94"/>
      <c r="I168" s="94"/>
      <c r="J168" s="94"/>
      <c r="K168" s="94"/>
      <c r="L168" s="94"/>
      <c r="M168" s="94"/>
      <c r="N168" s="94"/>
      <c r="O168" s="94"/>
      <c r="P168" s="94"/>
      <c r="Q168" s="94"/>
      <c r="R168" s="94"/>
      <c r="S168" s="94"/>
      <c r="T168" s="94"/>
      <c r="U168" s="94"/>
      <c r="V168" s="94"/>
      <c r="W168" s="94"/>
      <c r="X168" s="94"/>
      <c r="Y168" s="94"/>
    </row>
    <row r="169">
      <c r="A169" s="1"/>
      <c r="B169" s="44"/>
      <c r="D169" s="44"/>
      <c r="E169" s="94"/>
      <c r="F169" s="94"/>
      <c r="G169" s="94"/>
      <c r="H169" s="94"/>
      <c r="I169" s="94"/>
      <c r="J169" s="94"/>
      <c r="K169" s="94"/>
      <c r="L169" s="94"/>
      <c r="M169" s="94"/>
      <c r="N169" s="94"/>
      <c r="O169" s="94"/>
      <c r="P169" s="94"/>
      <c r="Q169" s="94"/>
      <c r="R169" s="94"/>
      <c r="S169" s="94"/>
      <c r="T169" s="94"/>
      <c r="U169" s="94"/>
      <c r="V169" s="94"/>
      <c r="W169" s="94"/>
      <c r="X169" s="94"/>
      <c r="Y169" s="94"/>
    </row>
    <row r="170">
      <c r="A170" s="1"/>
      <c r="B170" s="44"/>
      <c r="D170" s="44"/>
      <c r="E170" s="94"/>
      <c r="F170" s="94"/>
      <c r="G170" s="94"/>
      <c r="H170" s="94"/>
      <c r="I170" s="94"/>
      <c r="J170" s="94"/>
      <c r="K170" s="94"/>
      <c r="L170" s="94"/>
      <c r="M170" s="94"/>
      <c r="N170" s="94"/>
      <c r="O170" s="94"/>
      <c r="P170" s="94"/>
      <c r="Q170" s="94"/>
      <c r="R170" s="94"/>
      <c r="S170" s="94"/>
      <c r="T170" s="94"/>
      <c r="U170" s="94"/>
      <c r="V170" s="94"/>
      <c r="W170" s="94"/>
      <c r="X170" s="94"/>
      <c r="Y170" s="94"/>
    </row>
    <row r="171">
      <c r="A171" s="1"/>
      <c r="B171" s="44"/>
      <c r="D171" s="44"/>
      <c r="E171" s="94"/>
      <c r="F171" s="94"/>
      <c r="G171" s="94"/>
      <c r="H171" s="94"/>
      <c r="I171" s="94"/>
      <c r="J171" s="94"/>
      <c r="K171" s="94"/>
      <c r="L171" s="94"/>
      <c r="M171" s="94"/>
      <c r="N171" s="94"/>
      <c r="O171" s="94"/>
      <c r="P171" s="94"/>
      <c r="Q171" s="94"/>
      <c r="R171" s="94"/>
      <c r="S171" s="94"/>
      <c r="T171" s="94"/>
      <c r="U171" s="94"/>
      <c r="V171" s="94"/>
      <c r="W171" s="94"/>
      <c r="X171" s="94"/>
      <c r="Y171" s="94"/>
    </row>
    <row r="172">
      <c r="A172" s="1"/>
      <c r="B172" s="44"/>
      <c r="D172" s="44"/>
      <c r="E172" s="94"/>
      <c r="F172" s="94"/>
      <c r="G172" s="94"/>
      <c r="H172" s="94"/>
      <c r="I172" s="94"/>
      <c r="J172" s="94"/>
      <c r="K172" s="94"/>
      <c r="L172" s="94"/>
      <c r="M172" s="94"/>
      <c r="N172" s="94"/>
      <c r="O172" s="94"/>
      <c r="P172" s="94"/>
      <c r="Q172" s="94"/>
      <c r="R172" s="94"/>
      <c r="S172" s="94"/>
      <c r="T172" s="94"/>
      <c r="U172" s="94"/>
      <c r="V172" s="94"/>
      <c r="W172" s="94"/>
      <c r="X172" s="94"/>
      <c r="Y172" s="94"/>
    </row>
    <row r="173">
      <c r="A173" s="1"/>
      <c r="B173" s="44"/>
      <c r="D173" s="44"/>
      <c r="E173" s="94"/>
      <c r="F173" s="94"/>
      <c r="G173" s="94"/>
      <c r="H173" s="94"/>
      <c r="I173" s="94"/>
      <c r="J173" s="94"/>
      <c r="K173" s="94"/>
      <c r="L173" s="94"/>
      <c r="M173" s="94"/>
      <c r="N173" s="94"/>
      <c r="O173" s="94"/>
      <c r="P173" s="94"/>
      <c r="Q173" s="94"/>
      <c r="R173" s="94"/>
      <c r="S173" s="94"/>
      <c r="T173" s="94"/>
      <c r="U173" s="94"/>
      <c r="V173" s="94"/>
      <c r="W173" s="94"/>
      <c r="X173" s="94"/>
      <c r="Y173" s="94"/>
    </row>
    <row r="174">
      <c r="A174" s="1"/>
      <c r="B174" s="44"/>
      <c r="D174" s="44"/>
      <c r="E174" s="94"/>
      <c r="F174" s="94"/>
      <c r="G174" s="94"/>
      <c r="H174" s="94"/>
      <c r="I174" s="94"/>
      <c r="J174" s="94"/>
      <c r="K174" s="94"/>
      <c r="L174" s="94"/>
      <c r="M174" s="94"/>
      <c r="N174" s="94"/>
      <c r="O174" s="94"/>
      <c r="P174" s="94"/>
      <c r="Q174" s="94"/>
      <c r="R174" s="94"/>
      <c r="S174" s="94"/>
      <c r="T174" s="94"/>
      <c r="U174" s="94"/>
      <c r="V174" s="94"/>
      <c r="W174" s="94"/>
      <c r="X174" s="94"/>
      <c r="Y174" s="94"/>
    </row>
    <row r="175">
      <c r="A175" s="1"/>
      <c r="B175" s="44"/>
      <c r="D175" s="44"/>
      <c r="E175" s="94"/>
      <c r="F175" s="94"/>
      <c r="G175" s="94"/>
      <c r="H175" s="94"/>
      <c r="I175" s="94"/>
      <c r="J175" s="94"/>
      <c r="K175" s="94"/>
      <c r="L175" s="94"/>
      <c r="M175" s="94"/>
      <c r="N175" s="94"/>
      <c r="O175" s="94"/>
      <c r="P175" s="94"/>
      <c r="Q175" s="94"/>
      <c r="R175" s="94"/>
      <c r="S175" s="94"/>
      <c r="T175" s="94"/>
      <c r="U175" s="94"/>
      <c r="V175" s="94"/>
      <c r="W175" s="94"/>
      <c r="X175" s="94"/>
      <c r="Y175" s="94"/>
    </row>
    <row r="176">
      <c r="A176" s="1"/>
      <c r="B176" s="44"/>
      <c r="D176" s="44"/>
      <c r="E176" s="94"/>
      <c r="F176" s="94"/>
      <c r="G176" s="94"/>
      <c r="H176" s="94"/>
      <c r="I176" s="94"/>
      <c r="J176" s="94"/>
      <c r="K176" s="94"/>
      <c r="L176" s="94"/>
      <c r="M176" s="94"/>
      <c r="N176" s="94"/>
      <c r="O176" s="94"/>
      <c r="P176" s="94"/>
      <c r="Q176" s="94"/>
      <c r="R176" s="94"/>
      <c r="S176" s="94"/>
      <c r="T176" s="94"/>
      <c r="U176" s="94"/>
      <c r="V176" s="94"/>
      <c r="W176" s="94"/>
      <c r="X176" s="94"/>
      <c r="Y176" s="94"/>
    </row>
    <row r="177">
      <c r="A177" s="1"/>
      <c r="B177" s="44"/>
      <c r="D177" s="44"/>
      <c r="E177" s="94"/>
      <c r="F177" s="94"/>
      <c r="G177" s="94"/>
      <c r="H177" s="94"/>
      <c r="I177" s="94"/>
      <c r="J177" s="94"/>
      <c r="K177" s="94"/>
      <c r="L177" s="94"/>
      <c r="M177" s="94"/>
      <c r="N177" s="94"/>
      <c r="O177" s="94"/>
      <c r="P177" s="94"/>
      <c r="Q177" s="94"/>
      <c r="R177" s="94"/>
      <c r="S177" s="94"/>
      <c r="T177" s="94"/>
      <c r="U177" s="94"/>
      <c r="V177" s="94"/>
      <c r="W177" s="94"/>
      <c r="X177" s="94"/>
      <c r="Y177" s="94"/>
    </row>
    <row r="178">
      <c r="A178" s="1"/>
      <c r="B178" s="44"/>
      <c r="D178" s="44"/>
      <c r="E178" s="94"/>
      <c r="F178" s="94"/>
      <c r="G178" s="94"/>
      <c r="H178" s="94"/>
      <c r="I178" s="94"/>
      <c r="J178" s="94"/>
      <c r="K178" s="94"/>
      <c r="L178" s="94"/>
      <c r="M178" s="94"/>
      <c r="N178" s="94"/>
      <c r="O178" s="94"/>
      <c r="P178" s="94"/>
      <c r="Q178" s="94"/>
      <c r="R178" s="94"/>
      <c r="S178" s="94"/>
      <c r="T178" s="94"/>
      <c r="U178" s="94"/>
      <c r="V178" s="94"/>
      <c r="W178" s="94"/>
      <c r="X178" s="94"/>
      <c r="Y178" s="94"/>
    </row>
    <row r="179">
      <c r="A179" s="1"/>
      <c r="B179" s="44"/>
      <c r="D179" s="44"/>
      <c r="E179" s="94"/>
      <c r="F179" s="94"/>
      <c r="G179" s="94"/>
      <c r="H179" s="94"/>
      <c r="I179" s="94"/>
      <c r="J179" s="94"/>
      <c r="K179" s="94"/>
      <c r="L179" s="94"/>
      <c r="M179" s="94"/>
      <c r="N179" s="94"/>
      <c r="O179" s="94"/>
      <c r="P179" s="94"/>
      <c r="Q179" s="94"/>
      <c r="R179" s="94"/>
      <c r="S179" s="94"/>
      <c r="T179" s="94"/>
      <c r="U179" s="94"/>
      <c r="V179" s="94"/>
      <c r="W179" s="94"/>
      <c r="X179" s="94"/>
      <c r="Y179" s="94"/>
    </row>
    <row r="180">
      <c r="A180" s="1"/>
      <c r="B180" s="44"/>
      <c r="D180" s="44"/>
      <c r="E180" s="94"/>
      <c r="F180" s="94"/>
      <c r="G180" s="94"/>
      <c r="H180" s="94"/>
      <c r="I180" s="94"/>
      <c r="J180" s="94"/>
      <c r="K180" s="94"/>
      <c r="L180" s="94"/>
      <c r="M180" s="94"/>
      <c r="N180" s="94"/>
      <c r="O180" s="94"/>
      <c r="P180" s="94"/>
      <c r="Q180" s="94"/>
      <c r="R180" s="94"/>
      <c r="S180" s="94"/>
      <c r="T180" s="94"/>
      <c r="U180" s="94"/>
      <c r="V180" s="94"/>
      <c r="W180" s="94"/>
      <c r="X180" s="94"/>
      <c r="Y180" s="94"/>
    </row>
    <row r="181">
      <c r="A181" s="1"/>
      <c r="B181" s="44"/>
      <c r="D181" s="44"/>
      <c r="E181" s="94"/>
      <c r="F181" s="94"/>
      <c r="G181" s="94"/>
      <c r="H181" s="94"/>
      <c r="I181" s="94"/>
      <c r="J181" s="94"/>
      <c r="K181" s="94"/>
      <c r="L181" s="94"/>
      <c r="M181" s="94"/>
      <c r="N181" s="94"/>
      <c r="O181" s="94"/>
      <c r="P181" s="94"/>
      <c r="Q181" s="94"/>
      <c r="R181" s="94"/>
      <c r="S181" s="94"/>
      <c r="T181" s="94"/>
      <c r="U181" s="94"/>
      <c r="V181" s="94"/>
      <c r="W181" s="94"/>
      <c r="X181" s="94"/>
      <c r="Y181" s="94"/>
    </row>
    <row r="182">
      <c r="A182" s="1"/>
      <c r="B182" s="44"/>
      <c r="D182" s="44"/>
      <c r="E182" s="94"/>
      <c r="F182" s="94"/>
      <c r="G182" s="94"/>
      <c r="H182" s="94"/>
      <c r="I182" s="94"/>
      <c r="J182" s="94"/>
      <c r="K182" s="94"/>
      <c r="L182" s="94"/>
      <c r="M182" s="94"/>
      <c r="N182" s="94"/>
      <c r="O182" s="94"/>
      <c r="P182" s="94"/>
      <c r="Q182" s="94"/>
      <c r="R182" s="94"/>
      <c r="S182" s="94"/>
      <c r="T182" s="94"/>
      <c r="U182" s="94"/>
      <c r="V182" s="94"/>
      <c r="W182" s="94"/>
      <c r="X182" s="94"/>
      <c r="Y182" s="94"/>
    </row>
    <row r="183">
      <c r="A183" s="1"/>
      <c r="B183" s="44"/>
      <c r="D183" s="44"/>
      <c r="E183" s="94"/>
      <c r="F183" s="94"/>
      <c r="G183" s="94"/>
      <c r="H183" s="94"/>
      <c r="I183" s="94"/>
      <c r="J183" s="94"/>
      <c r="K183" s="94"/>
      <c r="L183" s="94"/>
      <c r="M183" s="94"/>
      <c r="N183" s="94"/>
      <c r="O183" s="94"/>
      <c r="P183" s="94"/>
      <c r="Q183" s="94"/>
      <c r="R183" s="94"/>
      <c r="S183" s="94"/>
      <c r="T183" s="94"/>
      <c r="U183" s="94"/>
      <c r="V183" s="94"/>
      <c r="W183" s="94"/>
      <c r="X183" s="94"/>
      <c r="Y183" s="94"/>
    </row>
    <row r="184">
      <c r="A184" s="1"/>
      <c r="B184" s="44"/>
      <c r="D184" s="44"/>
      <c r="E184" s="94"/>
      <c r="F184" s="94"/>
      <c r="G184" s="94"/>
      <c r="H184" s="94"/>
      <c r="I184" s="94"/>
      <c r="J184" s="94"/>
      <c r="K184" s="94"/>
      <c r="L184" s="94"/>
      <c r="M184" s="94"/>
      <c r="N184" s="94"/>
      <c r="O184" s="94"/>
      <c r="P184" s="94"/>
      <c r="Q184" s="94"/>
      <c r="R184" s="94"/>
      <c r="S184" s="94"/>
      <c r="T184" s="94"/>
      <c r="U184" s="94"/>
      <c r="V184" s="94"/>
      <c r="W184" s="94"/>
      <c r="X184" s="94"/>
      <c r="Y184" s="94"/>
    </row>
    <row r="185">
      <c r="A185" s="1"/>
      <c r="B185" s="44"/>
      <c r="D185" s="44"/>
      <c r="E185" s="94"/>
      <c r="F185" s="94"/>
      <c r="G185" s="94"/>
      <c r="H185" s="94"/>
      <c r="I185" s="94"/>
      <c r="J185" s="94"/>
      <c r="K185" s="94"/>
      <c r="L185" s="94"/>
      <c r="M185" s="94"/>
      <c r="N185" s="94"/>
      <c r="O185" s="94"/>
      <c r="P185" s="94"/>
      <c r="Q185" s="94"/>
      <c r="R185" s="94"/>
      <c r="S185" s="94"/>
      <c r="T185" s="94"/>
      <c r="U185" s="94"/>
      <c r="V185" s="94"/>
      <c r="W185" s="94"/>
      <c r="X185" s="94"/>
      <c r="Y185" s="94"/>
    </row>
    <row r="186">
      <c r="A186" s="1"/>
      <c r="B186" s="44"/>
      <c r="D186" s="44"/>
      <c r="E186" s="94"/>
      <c r="F186" s="94"/>
      <c r="G186" s="94"/>
      <c r="H186" s="94"/>
      <c r="I186" s="94"/>
      <c r="J186" s="94"/>
      <c r="K186" s="94"/>
      <c r="L186" s="94"/>
      <c r="M186" s="94"/>
      <c r="N186" s="94"/>
      <c r="O186" s="94"/>
      <c r="P186" s="94"/>
      <c r="Q186" s="94"/>
      <c r="R186" s="94"/>
      <c r="S186" s="94"/>
      <c r="T186" s="94"/>
      <c r="U186" s="94"/>
      <c r="V186" s="94"/>
      <c r="W186" s="94"/>
      <c r="X186" s="94"/>
      <c r="Y186" s="94"/>
    </row>
    <row r="187">
      <c r="A187" s="1"/>
      <c r="B187" s="44"/>
      <c r="D187" s="44"/>
      <c r="E187" s="94"/>
      <c r="F187" s="94"/>
      <c r="G187" s="94"/>
      <c r="H187" s="94"/>
      <c r="I187" s="94"/>
      <c r="J187" s="94"/>
      <c r="K187" s="94"/>
      <c r="L187" s="94"/>
      <c r="M187" s="94"/>
      <c r="N187" s="94"/>
      <c r="O187" s="94"/>
      <c r="P187" s="94"/>
      <c r="Q187" s="94"/>
      <c r="R187" s="94"/>
      <c r="S187" s="94"/>
      <c r="T187" s="94"/>
      <c r="U187" s="94"/>
      <c r="V187" s="94"/>
      <c r="W187" s="94"/>
      <c r="X187" s="94"/>
      <c r="Y187" s="94"/>
    </row>
    <row r="188">
      <c r="A188" s="1"/>
      <c r="B188" s="44"/>
      <c r="D188" s="44"/>
      <c r="E188" s="94"/>
      <c r="F188" s="94"/>
      <c r="G188" s="94"/>
      <c r="H188" s="94"/>
      <c r="I188" s="94"/>
      <c r="J188" s="94"/>
      <c r="K188" s="94"/>
      <c r="L188" s="94"/>
      <c r="M188" s="94"/>
      <c r="N188" s="94"/>
      <c r="O188" s="94"/>
      <c r="P188" s="94"/>
      <c r="Q188" s="94"/>
      <c r="R188" s="94"/>
      <c r="S188" s="94"/>
      <c r="T188" s="94"/>
      <c r="U188" s="94"/>
      <c r="V188" s="94"/>
      <c r="W188" s="94"/>
      <c r="X188" s="94"/>
      <c r="Y188" s="94"/>
    </row>
    <row r="189">
      <c r="A189" s="1"/>
      <c r="B189" s="44"/>
      <c r="D189" s="44"/>
      <c r="E189" s="94"/>
      <c r="F189" s="94"/>
      <c r="G189" s="94"/>
      <c r="H189" s="94"/>
      <c r="I189" s="94"/>
      <c r="J189" s="94"/>
      <c r="K189" s="94"/>
      <c r="L189" s="94"/>
      <c r="M189" s="94"/>
      <c r="N189" s="94"/>
      <c r="O189" s="94"/>
      <c r="P189" s="94"/>
      <c r="Q189" s="94"/>
      <c r="R189" s="94"/>
      <c r="S189" s="94"/>
      <c r="T189" s="94"/>
      <c r="U189" s="94"/>
      <c r="V189" s="94"/>
      <c r="W189" s="94"/>
      <c r="X189" s="94"/>
      <c r="Y189" s="94"/>
    </row>
    <row r="190">
      <c r="A190" s="1"/>
      <c r="B190" s="44"/>
      <c r="D190" s="44"/>
      <c r="E190" s="94"/>
      <c r="F190" s="94"/>
      <c r="G190" s="94"/>
      <c r="H190" s="94"/>
      <c r="I190" s="94"/>
      <c r="J190" s="94"/>
      <c r="K190" s="94"/>
      <c r="L190" s="94"/>
      <c r="M190" s="94"/>
      <c r="N190" s="94"/>
      <c r="O190" s="94"/>
      <c r="P190" s="94"/>
      <c r="Q190" s="94"/>
      <c r="R190" s="94"/>
      <c r="S190" s="94"/>
      <c r="T190" s="94"/>
      <c r="U190" s="94"/>
      <c r="V190" s="94"/>
      <c r="W190" s="94"/>
      <c r="X190" s="94"/>
      <c r="Y190" s="94"/>
    </row>
    <row r="191">
      <c r="A191" s="1"/>
      <c r="B191" s="44"/>
      <c r="D191" s="44"/>
      <c r="E191" s="94"/>
      <c r="F191" s="94"/>
      <c r="G191" s="94"/>
      <c r="H191" s="94"/>
      <c r="I191" s="94"/>
      <c r="J191" s="94"/>
      <c r="K191" s="94"/>
      <c r="L191" s="94"/>
      <c r="M191" s="94"/>
      <c r="N191" s="94"/>
      <c r="O191" s="94"/>
      <c r="P191" s="94"/>
      <c r="Q191" s="94"/>
      <c r="R191" s="94"/>
      <c r="S191" s="94"/>
      <c r="T191" s="94"/>
      <c r="U191" s="94"/>
      <c r="V191" s="94"/>
      <c r="W191" s="94"/>
      <c r="X191" s="94"/>
      <c r="Y191" s="94"/>
    </row>
    <row r="192">
      <c r="A192" s="1"/>
      <c r="B192" s="44"/>
      <c r="D192" s="44"/>
      <c r="E192" s="94"/>
      <c r="F192" s="94"/>
      <c r="G192" s="94"/>
      <c r="H192" s="94"/>
      <c r="I192" s="94"/>
      <c r="J192" s="94"/>
      <c r="K192" s="94"/>
      <c r="L192" s="94"/>
      <c r="M192" s="94"/>
      <c r="N192" s="94"/>
      <c r="O192" s="94"/>
      <c r="P192" s="94"/>
      <c r="Q192" s="94"/>
      <c r="R192" s="94"/>
      <c r="S192" s="94"/>
      <c r="T192" s="94"/>
      <c r="U192" s="94"/>
      <c r="V192" s="94"/>
      <c r="W192" s="94"/>
      <c r="X192" s="94"/>
      <c r="Y192" s="94"/>
    </row>
    <row r="193">
      <c r="A193" s="1"/>
      <c r="B193" s="44"/>
      <c r="D193" s="44"/>
      <c r="E193" s="94"/>
      <c r="F193" s="94"/>
      <c r="G193" s="94"/>
      <c r="H193" s="94"/>
      <c r="I193" s="94"/>
      <c r="J193" s="94"/>
      <c r="K193" s="94"/>
      <c r="L193" s="94"/>
      <c r="M193" s="94"/>
      <c r="N193" s="94"/>
      <c r="O193" s="94"/>
      <c r="P193" s="94"/>
      <c r="Q193" s="94"/>
      <c r="R193" s="94"/>
      <c r="S193" s="94"/>
      <c r="T193" s="94"/>
      <c r="U193" s="94"/>
      <c r="V193" s="94"/>
      <c r="W193" s="94"/>
      <c r="X193" s="94"/>
      <c r="Y193" s="94"/>
    </row>
    <row r="194">
      <c r="A194" s="1"/>
      <c r="B194" s="44"/>
      <c r="D194" s="44"/>
      <c r="E194" s="94"/>
      <c r="F194" s="94"/>
      <c r="G194" s="94"/>
      <c r="H194" s="94"/>
      <c r="I194" s="94"/>
      <c r="J194" s="94"/>
      <c r="K194" s="94"/>
      <c r="L194" s="94"/>
      <c r="M194" s="94"/>
      <c r="N194" s="94"/>
      <c r="O194" s="94"/>
      <c r="P194" s="94"/>
      <c r="Q194" s="94"/>
      <c r="R194" s="94"/>
      <c r="S194" s="94"/>
      <c r="T194" s="94"/>
      <c r="U194" s="94"/>
      <c r="V194" s="94"/>
      <c r="W194" s="94"/>
      <c r="X194" s="94"/>
      <c r="Y194" s="94"/>
    </row>
    <row r="195">
      <c r="A195" s="1"/>
      <c r="B195" s="44"/>
      <c r="D195" s="44"/>
      <c r="E195" s="94"/>
      <c r="F195" s="94"/>
      <c r="G195" s="94"/>
      <c r="H195" s="94"/>
      <c r="I195" s="94"/>
      <c r="J195" s="94"/>
      <c r="K195" s="94"/>
      <c r="L195" s="94"/>
      <c r="M195" s="94"/>
      <c r="N195" s="94"/>
      <c r="O195" s="94"/>
      <c r="P195" s="94"/>
      <c r="Q195" s="94"/>
      <c r="R195" s="94"/>
      <c r="S195" s="94"/>
      <c r="T195" s="94"/>
      <c r="U195" s="94"/>
      <c r="V195" s="94"/>
      <c r="W195" s="94"/>
      <c r="X195" s="94"/>
      <c r="Y195" s="94"/>
    </row>
    <row r="196">
      <c r="A196" s="1"/>
      <c r="B196" s="44"/>
      <c r="D196" s="44"/>
      <c r="E196" s="94"/>
      <c r="F196" s="94"/>
      <c r="G196" s="94"/>
      <c r="H196" s="94"/>
      <c r="I196" s="94"/>
      <c r="J196" s="94"/>
      <c r="K196" s="94"/>
      <c r="L196" s="94"/>
      <c r="M196" s="94"/>
      <c r="N196" s="94"/>
      <c r="O196" s="94"/>
      <c r="P196" s="94"/>
      <c r="Q196" s="94"/>
      <c r="R196" s="94"/>
      <c r="S196" s="94"/>
      <c r="T196" s="94"/>
      <c r="U196" s="94"/>
      <c r="V196" s="94"/>
      <c r="W196" s="94"/>
      <c r="X196" s="94"/>
      <c r="Y196" s="94"/>
    </row>
    <row r="197">
      <c r="A197" s="1"/>
      <c r="B197" s="44"/>
      <c r="D197" s="44"/>
      <c r="E197" s="94"/>
      <c r="F197" s="94"/>
      <c r="G197" s="94"/>
      <c r="H197" s="94"/>
      <c r="I197" s="94"/>
      <c r="J197" s="94"/>
      <c r="K197" s="94"/>
      <c r="L197" s="94"/>
      <c r="M197" s="94"/>
      <c r="N197" s="94"/>
      <c r="O197" s="94"/>
      <c r="P197" s="94"/>
      <c r="Q197" s="94"/>
      <c r="R197" s="94"/>
      <c r="S197" s="94"/>
      <c r="T197" s="94"/>
      <c r="U197" s="94"/>
      <c r="V197" s="94"/>
      <c r="W197" s="94"/>
      <c r="X197" s="94"/>
      <c r="Y197" s="94"/>
    </row>
    <row r="198">
      <c r="A198" s="1"/>
      <c r="B198" s="44"/>
      <c r="D198" s="44"/>
      <c r="E198" s="94"/>
      <c r="F198" s="94"/>
      <c r="G198" s="94"/>
      <c r="H198" s="94"/>
      <c r="I198" s="94"/>
      <c r="J198" s="94"/>
      <c r="K198" s="94"/>
      <c r="L198" s="94"/>
      <c r="M198" s="94"/>
      <c r="N198" s="94"/>
      <c r="O198" s="94"/>
      <c r="P198" s="94"/>
      <c r="Q198" s="94"/>
      <c r="R198" s="94"/>
      <c r="S198" s="94"/>
      <c r="T198" s="94"/>
      <c r="U198" s="94"/>
      <c r="V198" s="94"/>
      <c r="W198" s="94"/>
      <c r="X198" s="94"/>
      <c r="Y198" s="94"/>
    </row>
    <row r="199">
      <c r="A199" s="1"/>
      <c r="B199" s="44"/>
      <c r="D199" s="44"/>
      <c r="E199" s="94"/>
      <c r="F199" s="94"/>
      <c r="G199" s="94"/>
      <c r="H199" s="94"/>
      <c r="I199" s="94"/>
      <c r="J199" s="94"/>
      <c r="K199" s="94"/>
      <c r="L199" s="94"/>
      <c r="M199" s="94"/>
      <c r="N199" s="94"/>
      <c r="O199" s="94"/>
      <c r="P199" s="94"/>
      <c r="Q199" s="94"/>
      <c r="R199" s="94"/>
      <c r="S199" s="94"/>
      <c r="T199" s="94"/>
      <c r="U199" s="94"/>
      <c r="V199" s="94"/>
      <c r="W199" s="94"/>
      <c r="X199" s="94"/>
      <c r="Y199" s="94"/>
    </row>
    <row r="200">
      <c r="A200" s="1"/>
      <c r="B200" s="44"/>
      <c r="D200" s="44"/>
      <c r="E200" s="94"/>
      <c r="F200" s="94"/>
      <c r="G200" s="94"/>
      <c r="H200" s="94"/>
      <c r="I200" s="94"/>
      <c r="J200" s="94"/>
      <c r="K200" s="94"/>
      <c r="L200" s="94"/>
      <c r="M200" s="94"/>
      <c r="N200" s="94"/>
      <c r="O200" s="94"/>
      <c r="P200" s="94"/>
      <c r="Q200" s="94"/>
      <c r="R200" s="94"/>
      <c r="S200" s="94"/>
      <c r="T200" s="94"/>
      <c r="U200" s="94"/>
      <c r="V200" s="94"/>
      <c r="W200" s="94"/>
      <c r="X200" s="94"/>
      <c r="Y200" s="94"/>
    </row>
    <row r="201">
      <c r="A201" s="1"/>
      <c r="B201" s="44"/>
      <c r="D201" s="44"/>
      <c r="E201" s="94"/>
      <c r="F201" s="94"/>
      <c r="G201" s="94"/>
      <c r="H201" s="94"/>
      <c r="I201" s="94"/>
      <c r="J201" s="94"/>
      <c r="K201" s="94"/>
      <c r="L201" s="94"/>
      <c r="M201" s="94"/>
      <c r="N201" s="94"/>
      <c r="O201" s="94"/>
      <c r="P201" s="94"/>
      <c r="Q201" s="94"/>
      <c r="R201" s="94"/>
      <c r="S201" s="94"/>
      <c r="T201" s="94"/>
      <c r="U201" s="94"/>
      <c r="V201" s="94"/>
      <c r="W201" s="94"/>
      <c r="X201" s="94"/>
      <c r="Y201" s="94"/>
    </row>
    <row r="202">
      <c r="A202" s="1"/>
      <c r="B202" s="44"/>
      <c r="D202" s="44"/>
      <c r="E202" s="94"/>
      <c r="F202" s="94"/>
      <c r="G202" s="94"/>
      <c r="H202" s="94"/>
      <c r="I202" s="94"/>
      <c r="J202" s="94"/>
      <c r="K202" s="94"/>
      <c r="L202" s="94"/>
      <c r="M202" s="94"/>
      <c r="N202" s="94"/>
      <c r="O202" s="94"/>
      <c r="P202" s="94"/>
      <c r="Q202" s="94"/>
      <c r="R202" s="94"/>
      <c r="S202" s="94"/>
      <c r="T202" s="94"/>
      <c r="U202" s="94"/>
      <c r="V202" s="94"/>
      <c r="W202" s="94"/>
      <c r="X202" s="94"/>
      <c r="Y202" s="94"/>
    </row>
    <row r="203">
      <c r="A203" s="1"/>
      <c r="B203" s="44"/>
      <c r="D203" s="44"/>
      <c r="E203" s="94"/>
      <c r="F203" s="94"/>
      <c r="G203" s="94"/>
      <c r="H203" s="94"/>
      <c r="I203" s="94"/>
      <c r="J203" s="94"/>
      <c r="K203" s="94"/>
      <c r="L203" s="94"/>
      <c r="M203" s="94"/>
      <c r="N203" s="94"/>
      <c r="O203" s="94"/>
      <c r="P203" s="94"/>
      <c r="Q203" s="94"/>
      <c r="R203" s="94"/>
      <c r="S203" s="94"/>
      <c r="T203" s="94"/>
      <c r="U203" s="94"/>
      <c r="V203" s="94"/>
      <c r="W203" s="94"/>
      <c r="X203" s="94"/>
      <c r="Y203" s="94"/>
    </row>
    <row r="204">
      <c r="A204" s="1"/>
      <c r="B204" s="44"/>
      <c r="D204" s="44"/>
      <c r="E204" s="94"/>
      <c r="F204" s="94"/>
      <c r="G204" s="94"/>
      <c r="H204" s="94"/>
      <c r="I204" s="94"/>
      <c r="J204" s="94"/>
      <c r="K204" s="94"/>
      <c r="L204" s="94"/>
      <c r="M204" s="94"/>
      <c r="N204" s="94"/>
      <c r="O204" s="94"/>
      <c r="P204" s="94"/>
      <c r="Q204" s="94"/>
      <c r="R204" s="94"/>
      <c r="S204" s="94"/>
      <c r="T204" s="94"/>
      <c r="U204" s="94"/>
      <c r="V204" s="94"/>
      <c r="W204" s="94"/>
      <c r="X204" s="94"/>
      <c r="Y204" s="94"/>
    </row>
    <row r="205">
      <c r="A205" s="1"/>
      <c r="B205" s="44"/>
      <c r="D205" s="44"/>
      <c r="E205" s="94"/>
      <c r="F205" s="94"/>
      <c r="G205" s="94"/>
      <c r="H205" s="94"/>
      <c r="I205" s="94"/>
      <c r="J205" s="94"/>
      <c r="K205" s="94"/>
      <c r="L205" s="94"/>
      <c r="M205" s="94"/>
      <c r="N205" s="94"/>
      <c r="O205" s="94"/>
      <c r="P205" s="94"/>
      <c r="Q205" s="94"/>
      <c r="R205" s="94"/>
      <c r="S205" s="94"/>
      <c r="T205" s="94"/>
      <c r="U205" s="94"/>
      <c r="V205" s="94"/>
      <c r="W205" s="94"/>
      <c r="X205" s="94"/>
      <c r="Y205" s="94"/>
    </row>
    <row r="206">
      <c r="A206" s="1"/>
      <c r="B206" s="44"/>
      <c r="D206" s="44"/>
      <c r="E206" s="94"/>
      <c r="F206" s="94"/>
      <c r="G206" s="94"/>
      <c r="H206" s="94"/>
      <c r="I206" s="94"/>
      <c r="J206" s="94"/>
      <c r="K206" s="94"/>
      <c r="L206" s="94"/>
      <c r="M206" s="94"/>
      <c r="N206" s="94"/>
      <c r="O206" s="94"/>
      <c r="P206" s="94"/>
      <c r="Q206" s="94"/>
      <c r="R206" s="94"/>
      <c r="S206" s="94"/>
      <c r="T206" s="94"/>
      <c r="U206" s="94"/>
      <c r="V206" s="94"/>
      <c r="W206" s="94"/>
      <c r="X206" s="94"/>
      <c r="Y206" s="94"/>
    </row>
    <row r="207">
      <c r="A207" s="1"/>
      <c r="B207" s="44"/>
      <c r="D207" s="44"/>
      <c r="E207" s="94"/>
      <c r="F207" s="94"/>
      <c r="G207" s="94"/>
      <c r="H207" s="94"/>
      <c r="I207" s="94"/>
      <c r="J207" s="94"/>
      <c r="K207" s="94"/>
      <c r="L207" s="94"/>
      <c r="M207" s="94"/>
      <c r="N207" s="94"/>
      <c r="O207" s="94"/>
      <c r="P207" s="94"/>
      <c r="Q207" s="94"/>
      <c r="R207" s="94"/>
      <c r="S207" s="94"/>
      <c r="T207" s="94"/>
      <c r="U207" s="94"/>
      <c r="V207" s="94"/>
      <c r="W207" s="94"/>
      <c r="X207" s="94"/>
      <c r="Y207" s="94"/>
    </row>
    <row r="208">
      <c r="A208" s="1"/>
      <c r="B208" s="44"/>
      <c r="D208" s="44"/>
      <c r="E208" s="94"/>
      <c r="F208" s="94"/>
      <c r="G208" s="94"/>
      <c r="H208" s="94"/>
      <c r="I208" s="94"/>
      <c r="J208" s="94"/>
      <c r="K208" s="94"/>
      <c r="L208" s="94"/>
      <c r="M208" s="94"/>
      <c r="N208" s="94"/>
      <c r="O208" s="94"/>
      <c r="P208" s="94"/>
      <c r="Q208" s="94"/>
      <c r="R208" s="94"/>
      <c r="S208" s="94"/>
      <c r="T208" s="94"/>
      <c r="U208" s="94"/>
      <c r="V208" s="94"/>
      <c r="W208" s="94"/>
      <c r="X208" s="94"/>
      <c r="Y208" s="94"/>
    </row>
    <row r="209">
      <c r="A209" s="1"/>
      <c r="B209" s="44"/>
      <c r="D209" s="44"/>
      <c r="E209" s="94"/>
      <c r="F209" s="94"/>
      <c r="G209" s="94"/>
      <c r="H209" s="94"/>
      <c r="I209" s="94"/>
      <c r="J209" s="94"/>
      <c r="K209" s="94"/>
      <c r="L209" s="94"/>
      <c r="M209" s="94"/>
      <c r="N209" s="94"/>
      <c r="O209" s="94"/>
      <c r="P209" s="94"/>
      <c r="Q209" s="94"/>
      <c r="R209" s="94"/>
      <c r="S209" s="94"/>
      <c r="T209" s="94"/>
      <c r="U209" s="94"/>
      <c r="V209" s="94"/>
      <c r="W209" s="94"/>
      <c r="X209" s="94"/>
      <c r="Y209" s="94"/>
    </row>
    <row r="210">
      <c r="A210" s="1"/>
      <c r="B210" s="44"/>
      <c r="D210" s="44"/>
      <c r="E210" s="94"/>
      <c r="F210" s="94"/>
      <c r="G210" s="94"/>
      <c r="H210" s="94"/>
      <c r="I210" s="94"/>
      <c r="J210" s="94"/>
      <c r="K210" s="94"/>
      <c r="L210" s="94"/>
      <c r="M210" s="94"/>
      <c r="N210" s="94"/>
      <c r="O210" s="94"/>
      <c r="P210" s="94"/>
      <c r="Q210" s="94"/>
      <c r="R210" s="94"/>
      <c r="S210" s="94"/>
      <c r="T210" s="94"/>
      <c r="U210" s="94"/>
      <c r="V210" s="94"/>
      <c r="W210" s="94"/>
      <c r="X210" s="94"/>
      <c r="Y210" s="94"/>
    </row>
    <row r="211">
      <c r="A211" s="1"/>
      <c r="B211" s="44"/>
      <c r="D211" s="44"/>
      <c r="E211" s="94"/>
      <c r="F211" s="94"/>
      <c r="G211" s="94"/>
      <c r="H211" s="94"/>
      <c r="I211" s="94"/>
      <c r="J211" s="94"/>
      <c r="K211" s="94"/>
      <c r="L211" s="94"/>
      <c r="M211" s="94"/>
      <c r="N211" s="94"/>
      <c r="O211" s="94"/>
      <c r="P211" s="94"/>
      <c r="Q211" s="94"/>
      <c r="R211" s="94"/>
      <c r="S211" s="94"/>
      <c r="T211" s="94"/>
      <c r="U211" s="94"/>
      <c r="V211" s="94"/>
      <c r="W211" s="94"/>
      <c r="X211" s="94"/>
      <c r="Y211" s="94"/>
    </row>
    <row r="212">
      <c r="A212" s="1"/>
      <c r="B212" s="44"/>
      <c r="D212" s="44"/>
      <c r="E212" s="94"/>
      <c r="F212" s="94"/>
      <c r="G212" s="94"/>
      <c r="H212" s="94"/>
      <c r="I212" s="94"/>
      <c r="J212" s="94"/>
      <c r="K212" s="94"/>
      <c r="L212" s="94"/>
      <c r="M212" s="94"/>
      <c r="N212" s="94"/>
      <c r="O212" s="94"/>
      <c r="P212" s="94"/>
      <c r="Q212" s="94"/>
      <c r="R212" s="94"/>
      <c r="S212" s="94"/>
      <c r="T212" s="94"/>
      <c r="U212" s="94"/>
      <c r="V212" s="94"/>
      <c r="W212" s="94"/>
      <c r="X212" s="94"/>
      <c r="Y212" s="94"/>
    </row>
    <row r="213">
      <c r="A213" s="1"/>
      <c r="B213" s="44"/>
      <c r="D213" s="44"/>
      <c r="E213" s="94"/>
      <c r="F213" s="94"/>
      <c r="G213" s="94"/>
      <c r="H213" s="94"/>
      <c r="I213" s="94"/>
      <c r="J213" s="94"/>
      <c r="K213" s="94"/>
      <c r="L213" s="94"/>
      <c r="M213" s="94"/>
      <c r="N213" s="94"/>
      <c r="O213" s="94"/>
      <c r="P213" s="94"/>
      <c r="Q213" s="94"/>
      <c r="R213" s="94"/>
      <c r="S213" s="94"/>
      <c r="T213" s="94"/>
      <c r="U213" s="94"/>
      <c r="V213" s="94"/>
      <c r="W213" s="94"/>
      <c r="X213" s="94"/>
      <c r="Y213" s="94"/>
    </row>
    <row r="214">
      <c r="A214" s="1"/>
      <c r="B214" s="44"/>
      <c r="D214" s="44"/>
      <c r="E214" s="94"/>
      <c r="F214" s="94"/>
      <c r="G214" s="94"/>
      <c r="H214" s="94"/>
      <c r="I214" s="94"/>
      <c r="J214" s="94"/>
      <c r="K214" s="94"/>
      <c r="L214" s="94"/>
      <c r="M214" s="94"/>
      <c r="N214" s="94"/>
      <c r="O214" s="94"/>
      <c r="P214" s="94"/>
      <c r="Q214" s="94"/>
      <c r="R214" s="94"/>
      <c r="S214" s="94"/>
      <c r="T214" s="94"/>
      <c r="U214" s="94"/>
      <c r="V214" s="94"/>
      <c r="W214" s="94"/>
      <c r="X214" s="94"/>
      <c r="Y214" s="94"/>
    </row>
    <row r="215">
      <c r="A215" s="1"/>
      <c r="B215" s="44"/>
      <c r="D215" s="44"/>
      <c r="E215" s="94"/>
      <c r="F215" s="94"/>
      <c r="G215" s="94"/>
      <c r="H215" s="94"/>
      <c r="I215" s="94"/>
      <c r="J215" s="94"/>
      <c r="K215" s="94"/>
      <c r="L215" s="94"/>
      <c r="M215" s="94"/>
      <c r="N215" s="94"/>
      <c r="O215" s="94"/>
      <c r="P215" s="94"/>
      <c r="Q215" s="94"/>
      <c r="R215" s="94"/>
      <c r="S215" s="94"/>
      <c r="T215" s="94"/>
      <c r="U215" s="94"/>
      <c r="V215" s="94"/>
      <c r="W215" s="94"/>
      <c r="X215" s="94"/>
      <c r="Y215" s="94"/>
    </row>
    <row r="216">
      <c r="A216" s="1"/>
      <c r="B216" s="44"/>
      <c r="D216" s="44"/>
      <c r="E216" s="94"/>
      <c r="F216" s="94"/>
      <c r="G216" s="94"/>
      <c r="H216" s="94"/>
      <c r="I216" s="94"/>
      <c r="J216" s="94"/>
      <c r="K216" s="94"/>
      <c r="L216" s="94"/>
      <c r="M216" s="94"/>
      <c r="N216" s="94"/>
      <c r="O216" s="94"/>
      <c r="P216" s="94"/>
      <c r="Q216" s="94"/>
      <c r="R216" s="94"/>
      <c r="S216" s="94"/>
      <c r="T216" s="94"/>
      <c r="U216" s="94"/>
      <c r="V216" s="94"/>
      <c r="W216" s="94"/>
      <c r="X216" s="94"/>
      <c r="Y216" s="94"/>
    </row>
    <row r="217">
      <c r="A217" s="1"/>
      <c r="B217" s="44"/>
      <c r="D217" s="44"/>
      <c r="E217" s="94"/>
      <c r="F217" s="94"/>
      <c r="G217" s="94"/>
      <c r="H217" s="94"/>
      <c r="I217" s="94"/>
      <c r="J217" s="94"/>
      <c r="K217" s="94"/>
      <c r="L217" s="94"/>
      <c r="M217" s="94"/>
      <c r="N217" s="94"/>
      <c r="O217" s="94"/>
      <c r="P217" s="94"/>
      <c r="Q217" s="94"/>
      <c r="R217" s="94"/>
      <c r="S217" s="94"/>
      <c r="T217" s="94"/>
      <c r="U217" s="94"/>
      <c r="V217" s="94"/>
      <c r="W217" s="94"/>
      <c r="X217" s="94"/>
      <c r="Y217" s="94"/>
    </row>
    <row r="218">
      <c r="A218" s="1"/>
      <c r="B218" s="44"/>
      <c r="D218" s="44"/>
      <c r="E218" s="94"/>
      <c r="F218" s="94"/>
      <c r="G218" s="94"/>
      <c r="H218" s="94"/>
      <c r="I218" s="94"/>
      <c r="J218" s="94"/>
      <c r="K218" s="94"/>
      <c r="L218" s="94"/>
      <c r="M218" s="94"/>
      <c r="N218" s="94"/>
      <c r="O218" s="94"/>
      <c r="P218" s="94"/>
      <c r="Q218" s="94"/>
      <c r="R218" s="94"/>
      <c r="S218" s="94"/>
      <c r="T218" s="94"/>
      <c r="U218" s="94"/>
      <c r="V218" s="94"/>
      <c r="W218" s="94"/>
      <c r="X218" s="94"/>
      <c r="Y218" s="94"/>
    </row>
    <row r="219">
      <c r="A219" s="1"/>
      <c r="B219" s="44"/>
      <c r="D219" s="44"/>
      <c r="E219" s="94"/>
      <c r="F219" s="94"/>
      <c r="G219" s="94"/>
      <c r="H219" s="94"/>
      <c r="I219" s="94"/>
      <c r="J219" s="94"/>
      <c r="K219" s="94"/>
      <c r="L219" s="94"/>
      <c r="M219" s="94"/>
      <c r="N219" s="94"/>
      <c r="O219" s="94"/>
      <c r="P219" s="94"/>
      <c r="Q219" s="94"/>
      <c r="R219" s="94"/>
      <c r="S219" s="94"/>
      <c r="T219" s="94"/>
      <c r="U219" s="94"/>
      <c r="V219" s="94"/>
      <c r="W219" s="94"/>
      <c r="X219" s="94"/>
      <c r="Y219" s="94"/>
    </row>
    <row r="220">
      <c r="A220" s="1"/>
      <c r="B220" s="44"/>
      <c r="D220" s="44"/>
      <c r="E220" s="94"/>
      <c r="F220" s="94"/>
      <c r="G220" s="94"/>
      <c r="H220" s="94"/>
      <c r="I220" s="94"/>
      <c r="J220" s="94"/>
      <c r="K220" s="94"/>
      <c r="L220" s="94"/>
      <c r="M220" s="94"/>
      <c r="N220" s="94"/>
      <c r="O220" s="94"/>
      <c r="P220" s="94"/>
      <c r="Q220" s="94"/>
      <c r="R220" s="94"/>
      <c r="S220" s="94"/>
      <c r="T220" s="94"/>
      <c r="U220" s="94"/>
      <c r="V220" s="94"/>
      <c r="W220" s="94"/>
      <c r="X220" s="94"/>
      <c r="Y220" s="94"/>
    </row>
    <row r="221">
      <c r="A221" s="1"/>
      <c r="B221" s="44"/>
      <c r="D221" s="44"/>
      <c r="E221" s="94"/>
      <c r="F221" s="94"/>
      <c r="G221" s="94"/>
      <c r="H221" s="94"/>
      <c r="I221" s="94"/>
      <c r="J221" s="94"/>
      <c r="K221" s="94"/>
      <c r="L221" s="94"/>
      <c r="M221" s="94"/>
      <c r="N221" s="94"/>
      <c r="O221" s="94"/>
      <c r="P221" s="94"/>
      <c r="Q221" s="94"/>
      <c r="R221" s="94"/>
      <c r="S221" s="94"/>
      <c r="T221" s="94"/>
      <c r="U221" s="94"/>
      <c r="V221" s="94"/>
      <c r="W221" s="94"/>
      <c r="X221" s="94"/>
      <c r="Y221" s="94"/>
    </row>
    <row r="222">
      <c r="A222" s="1"/>
      <c r="B222" s="44"/>
      <c r="D222" s="44"/>
      <c r="E222" s="94"/>
      <c r="F222" s="94"/>
      <c r="G222" s="94"/>
      <c r="H222" s="94"/>
      <c r="I222" s="94"/>
      <c r="J222" s="94"/>
      <c r="K222" s="94"/>
      <c r="L222" s="94"/>
      <c r="M222" s="94"/>
      <c r="N222" s="94"/>
      <c r="O222" s="94"/>
      <c r="P222" s="94"/>
      <c r="Q222" s="94"/>
      <c r="R222" s="94"/>
      <c r="S222" s="94"/>
      <c r="T222" s="94"/>
      <c r="U222" s="94"/>
      <c r="V222" s="94"/>
      <c r="W222" s="94"/>
      <c r="X222" s="94"/>
      <c r="Y222" s="94"/>
    </row>
    <row r="223">
      <c r="A223" s="1"/>
      <c r="B223" s="44"/>
      <c r="D223" s="44"/>
      <c r="E223" s="94"/>
      <c r="F223" s="94"/>
      <c r="G223" s="94"/>
      <c r="H223" s="94"/>
      <c r="I223" s="94"/>
      <c r="J223" s="94"/>
      <c r="K223" s="94"/>
      <c r="L223" s="94"/>
      <c r="M223" s="94"/>
      <c r="N223" s="94"/>
      <c r="O223" s="94"/>
      <c r="P223" s="94"/>
      <c r="Q223" s="94"/>
      <c r="R223" s="94"/>
      <c r="S223" s="94"/>
      <c r="T223" s="94"/>
      <c r="U223" s="94"/>
      <c r="V223" s="94"/>
      <c r="W223" s="94"/>
      <c r="X223" s="94"/>
      <c r="Y223" s="94"/>
    </row>
    <row r="224">
      <c r="A224" s="1"/>
      <c r="B224" s="44"/>
      <c r="D224" s="44"/>
      <c r="E224" s="94"/>
      <c r="F224" s="94"/>
      <c r="G224" s="94"/>
      <c r="H224" s="94"/>
      <c r="I224" s="94"/>
      <c r="J224" s="94"/>
      <c r="K224" s="94"/>
      <c r="L224" s="94"/>
      <c r="M224" s="94"/>
      <c r="N224" s="94"/>
      <c r="O224" s="94"/>
      <c r="P224" s="94"/>
      <c r="Q224" s="94"/>
      <c r="R224" s="94"/>
      <c r="S224" s="94"/>
      <c r="T224" s="94"/>
      <c r="U224" s="94"/>
      <c r="V224" s="94"/>
      <c r="W224" s="94"/>
      <c r="X224" s="94"/>
      <c r="Y224" s="94"/>
    </row>
    <row r="225">
      <c r="A225" s="1"/>
      <c r="B225" s="44"/>
      <c r="D225" s="44"/>
      <c r="E225" s="94"/>
      <c r="F225" s="94"/>
      <c r="G225" s="94"/>
      <c r="H225" s="94"/>
      <c r="I225" s="94"/>
      <c r="J225" s="94"/>
      <c r="K225" s="94"/>
      <c r="L225" s="94"/>
      <c r="M225" s="94"/>
      <c r="N225" s="94"/>
      <c r="O225" s="94"/>
      <c r="P225" s="94"/>
      <c r="Q225" s="94"/>
      <c r="R225" s="94"/>
      <c r="S225" s="94"/>
      <c r="T225" s="94"/>
      <c r="U225" s="94"/>
      <c r="V225" s="94"/>
      <c r="W225" s="94"/>
      <c r="X225" s="94"/>
      <c r="Y225" s="94"/>
    </row>
    <row r="226">
      <c r="A226" s="1"/>
      <c r="B226" s="44"/>
      <c r="D226" s="44"/>
      <c r="E226" s="94"/>
      <c r="F226" s="94"/>
      <c r="G226" s="94"/>
      <c r="H226" s="94"/>
      <c r="I226" s="94"/>
      <c r="J226" s="94"/>
      <c r="K226" s="94"/>
      <c r="L226" s="94"/>
      <c r="M226" s="94"/>
      <c r="N226" s="94"/>
      <c r="O226" s="94"/>
      <c r="P226" s="94"/>
      <c r="Q226" s="94"/>
      <c r="R226" s="94"/>
      <c r="S226" s="94"/>
      <c r="T226" s="94"/>
      <c r="U226" s="94"/>
      <c r="V226" s="94"/>
      <c r="W226" s="94"/>
      <c r="X226" s="94"/>
      <c r="Y226" s="94"/>
    </row>
    <row r="227">
      <c r="A227" s="1"/>
      <c r="B227" s="44"/>
      <c r="D227" s="44"/>
      <c r="E227" s="94"/>
      <c r="F227" s="94"/>
      <c r="G227" s="94"/>
      <c r="H227" s="94"/>
      <c r="I227" s="94"/>
      <c r="J227" s="94"/>
      <c r="K227" s="94"/>
      <c r="L227" s="94"/>
      <c r="M227" s="94"/>
      <c r="N227" s="94"/>
      <c r="O227" s="94"/>
      <c r="P227" s="94"/>
      <c r="Q227" s="94"/>
      <c r="R227" s="94"/>
      <c r="S227" s="94"/>
      <c r="T227" s="94"/>
      <c r="U227" s="94"/>
      <c r="V227" s="94"/>
      <c r="W227" s="94"/>
      <c r="X227" s="94"/>
      <c r="Y227" s="94"/>
    </row>
    <row r="228">
      <c r="A228" s="1"/>
      <c r="B228" s="44"/>
      <c r="D228" s="44"/>
      <c r="E228" s="94"/>
      <c r="F228" s="94"/>
      <c r="G228" s="94"/>
      <c r="H228" s="94"/>
      <c r="I228" s="94"/>
      <c r="J228" s="94"/>
      <c r="K228" s="94"/>
      <c r="L228" s="94"/>
      <c r="M228" s="94"/>
      <c r="N228" s="94"/>
      <c r="O228" s="94"/>
      <c r="P228" s="94"/>
      <c r="Q228" s="94"/>
      <c r="R228" s="94"/>
      <c r="S228" s="94"/>
      <c r="T228" s="94"/>
      <c r="U228" s="94"/>
      <c r="V228" s="94"/>
      <c r="W228" s="94"/>
      <c r="X228" s="94"/>
      <c r="Y228" s="94"/>
    </row>
    <row r="229">
      <c r="A229" s="1"/>
      <c r="B229" s="44"/>
      <c r="D229" s="44"/>
      <c r="E229" s="94"/>
      <c r="F229" s="94"/>
      <c r="G229" s="94"/>
      <c r="H229" s="94"/>
      <c r="I229" s="94"/>
      <c r="J229" s="94"/>
      <c r="K229" s="94"/>
      <c r="L229" s="94"/>
      <c r="M229" s="94"/>
      <c r="N229" s="94"/>
      <c r="O229" s="94"/>
      <c r="P229" s="94"/>
      <c r="Q229" s="94"/>
      <c r="R229" s="94"/>
      <c r="S229" s="94"/>
      <c r="T229" s="94"/>
      <c r="U229" s="94"/>
      <c r="V229" s="94"/>
      <c r="W229" s="94"/>
      <c r="X229" s="94"/>
      <c r="Y229" s="94"/>
    </row>
    <row r="230">
      <c r="A230" s="1"/>
      <c r="B230" s="44"/>
      <c r="D230" s="44"/>
      <c r="E230" s="94"/>
      <c r="F230" s="94"/>
      <c r="G230" s="94"/>
      <c r="H230" s="94"/>
      <c r="I230" s="94"/>
      <c r="J230" s="94"/>
      <c r="K230" s="94"/>
      <c r="L230" s="94"/>
      <c r="M230" s="94"/>
      <c r="N230" s="94"/>
      <c r="O230" s="94"/>
      <c r="P230" s="94"/>
      <c r="Q230" s="94"/>
      <c r="R230" s="94"/>
      <c r="S230" s="94"/>
      <c r="T230" s="94"/>
      <c r="U230" s="94"/>
      <c r="V230" s="94"/>
      <c r="W230" s="94"/>
      <c r="X230" s="94"/>
      <c r="Y230" s="94"/>
    </row>
    <row r="231">
      <c r="A231" s="1"/>
      <c r="B231" s="44"/>
      <c r="D231" s="44"/>
      <c r="E231" s="94"/>
      <c r="F231" s="94"/>
      <c r="G231" s="94"/>
      <c r="H231" s="94"/>
      <c r="I231" s="94"/>
      <c r="J231" s="94"/>
      <c r="K231" s="94"/>
      <c r="L231" s="94"/>
      <c r="M231" s="94"/>
      <c r="N231" s="94"/>
      <c r="O231" s="94"/>
      <c r="P231" s="94"/>
      <c r="Q231" s="94"/>
      <c r="R231" s="94"/>
      <c r="S231" s="94"/>
      <c r="T231" s="94"/>
      <c r="U231" s="94"/>
      <c r="V231" s="94"/>
      <c r="W231" s="94"/>
      <c r="X231" s="94"/>
      <c r="Y231" s="94"/>
    </row>
    <row r="232">
      <c r="A232" s="1"/>
      <c r="B232" s="44"/>
      <c r="D232" s="44"/>
      <c r="E232" s="94"/>
      <c r="F232" s="94"/>
      <c r="G232" s="94"/>
      <c r="H232" s="94"/>
      <c r="I232" s="94"/>
      <c r="J232" s="94"/>
      <c r="K232" s="94"/>
      <c r="L232" s="94"/>
      <c r="M232" s="94"/>
      <c r="N232" s="94"/>
      <c r="O232" s="94"/>
      <c r="P232" s="94"/>
      <c r="Q232" s="94"/>
      <c r="R232" s="94"/>
      <c r="S232" s="94"/>
      <c r="T232" s="94"/>
      <c r="U232" s="94"/>
      <c r="V232" s="94"/>
      <c r="W232" s="94"/>
      <c r="X232" s="94"/>
      <c r="Y232" s="94"/>
    </row>
    <row r="233">
      <c r="A233" s="1"/>
      <c r="B233" s="44"/>
      <c r="D233" s="44"/>
      <c r="E233" s="94"/>
      <c r="F233" s="94"/>
      <c r="G233" s="94"/>
      <c r="H233" s="94"/>
      <c r="I233" s="94"/>
      <c r="J233" s="94"/>
      <c r="K233" s="94"/>
      <c r="L233" s="94"/>
      <c r="M233" s="94"/>
      <c r="N233" s="94"/>
      <c r="O233" s="94"/>
      <c r="P233" s="94"/>
      <c r="Q233" s="94"/>
      <c r="R233" s="94"/>
      <c r="S233" s="94"/>
      <c r="T233" s="94"/>
      <c r="U233" s="94"/>
      <c r="V233" s="94"/>
      <c r="W233" s="94"/>
      <c r="X233" s="94"/>
      <c r="Y233" s="94"/>
    </row>
    <row r="234">
      <c r="A234" s="1"/>
      <c r="B234" s="44"/>
      <c r="D234" s="44"/>
      <c r="E234" s="94"/>
      <c r="F234" s="94"/>
      <c r="G234" s="94"/>
      <c r="H234" s="94"/>
      <c r="I234" s="94"/>
      <c r="J234" s="94"/>
      <c r="K234" s="94"/>
      <c r="L234" s="94"/>
      <c r="M234" s="94"/>
      <c r="N234" s="94"/>
      <c r="O234" s="94"/>
      <c r="P234" s="94"/>
      <c r="Q234" s="94"/>
      <c r="R234" s="94"/>
      <c r="S234" s="94"/>
      <c r="T234" s="94"/>
      <c r="U234" s="94"/>
      <c r="V234" s="94"/>
      <c r="W234" s="94"/>
      <c r="X234" s="94"/>
      <c r="Y234" s="94"/>
    </row>
    <row r="235">
      <c r="A235" s="1"/>
      <c r="B235" s="44"/>
      <c r="D235" s="44"/>
      <c r="E235" s="94"/>
      <c r="F235" s="94"/>
      <c r="G235" s="94"/>
      <c r="H235" s="94"/>
      <c r="I235" s="94"/>
      <c r="J235" s="94"/>
      <c r="K235" s="94"/>
      <c r="L235" s="94"/>
      <c r="M235" s="94"/>
      <c r="N235" s="94"/>
      <c r="O235" s="94"/>
      <c r="P235" s="94"/>
      <c r="Q235" s="94"/>
      <c r="R235" s="94"/>
      <c r="S235" s="94"/>
      <c r="T235" s="94"/>
      <c r="U235" s="94"/>
      <c r="V235" s="94"/>
      <c r="W235" s="94"/>
      <c r="X235" s="94"/>
      <c r="Y235" s="94"/>
    </row>
    <row r="236">
      <c r="A236" s="1"/>
      <c r="B236" s="44"/>
      <c r="D236" s="44"/>
      <c r="E236" s="94"/>
      <c r="F236" s="94"/>
      <c r="G236" s="94"/>
      <c r="H236" s="94"/>
      <c r="I236" s="94"/>
      <c r="J236" s="94"/>
      <c r="K236" s="94"/>
      <c r="L236" s="94"/>
      <c r="M236" s="94"/>
      <c r="N236" s="94"/>
      <c r="O236" s="94"/>
      <c r="P236" s="94"/>
      <c r="Q236" s="94"/>
      <c r="R236" s="94"/>
      <c r="S236" s="94"/>
      <c r="T236" s="94"/>
      <c r="U236" s="94"/>
      <c r="V236" s="94"/>
      <c r="W236" s="94"/>
      <c r="X236" s="94"/>
      <c r="Y236" s="94"/>
    </row>
    <row r="237">
      <c r="A237" s="1"/>
      <c r="B237" s="44"/>
      <c r="D237" s="44"/>
      <c r="E237" s="94"/>
      <c r="F237" s="94"/>
      <c r="G237" s="94"/>
      <c r="H237" s="94"/>
      <c r="I237" s="94"/>
      <c r="J237" s="94"/>
      <c r="K237" s="94"/>
      <c r="L237" s="94"/>
      <c r="M237" s="94"/>
      <c r="N237" s="94"/>
      <c r="O237" s="94"/>
      <c r="P237" s="94"/>
      <c r="Q237" s="94"/>
      <c r="R237" s="94"/>
      <c r="S237" s="94"/>
      <c r="T237" s="94"/>
      <c r="U237" s="94"/>
      <c r="V237" s="94"/>
      <c r="W237" s="94"/>
      <c r="X237" s="94"/>
      <c r="Y237" s="94"/>
    </row>
    <row r="238">
      <c r="A238" s="1"/>
      <c r="B238" s="44"/>
      <c r="D238" s="44"/>
      <c r="E238" s="94"/>
      <c r="F238" s="94"/>
      <c r="G238" s="94"/>
      <c r="H238" s="94"/>
      <c r="I238" s="94"/>
      <c r="J238" s="94"/>
      <c r="K238" s="94"/>
      <c r="L238" s="94"/>
      <c r="M238" s="94"/>
      <c r="N238" s="94"/>
      <c r="O238" s="94"/>
      <c r="P238" s="94"/>
      <c r="Q238" s="94"/>
      <c r="R238" s="94"/>
      <c r="S238" s="94"/>
      <c r="T238" s="94"/>
      <c r="U238" s="94"/>
      <c r="V238" s="94"/>
      <c r="W238" s="94"/>
      <c r="X238" s="94"/>
      <c r="Y238" s="94"/>
    </row>
    <row r="239">
      <c r="A239" s="1"/>
      <c r="B239" s="44"/>
      <c r="D239" s="44"/>
      <c r="E239" s="94"/>
      <c r="F239" s="94"/>
      <c r="G239" s="94"/>
      <c r="H239" s="94"/>
      <c r="I239" s="94"/>
      <c r="J239" s="94"/>
      <c r="K239" s="94"/>
      <c r="L239" s="94"/>
      <c r="M239" s="94"/>
      <c r="N239" s="94"/>
      <c r="O239" s="94"/>
      <c r="P239" s="94"/>
      <c r="Q239" s="94"/>
      <c r="R239" s="94"/>
      <c r="S239" s="94"/>
      <c r="T239" s="94"/>
      <c r="U239" s="94"/>
      <c r="V239" s="94"/>
      <c r="W239" s="94"/>
      <c r="X239" s="94"/>
      <c r="Y239" s="94"/>
    </row>
    <row r="240">
      <c r="A240" s="1"/>
      <c r="B240" s="44"/>
      <c r="D240" s="44"/>
      <c r="E240" s="94"/>
      <c r="F240" s="94"/>
      <c r="G240" s="94"/>
      <c r="H240" s="94"/>
      <c r="I240" s="94"/>
      <c r="J240" s="94"/>
      <c r="K240" s="94"/>
      <c r="L240" s="94"/>
      <c r="M240" s="94"/>
      <c r="N240" s="94"/>
      <c r="O240" s="94"/>
      <c r="P240" s="94"/>
      <c r="Q240" s="94"/>
      <c r="R240" s="94"/>
      <c r="S240" s="94"/>
      <c r="T240" s="94"/>
      <c r="U240" s="94"/>
      <c r="V240" s="94"/>
      <c r="W240" s="94"/>
      <c r="X240" s="94"/>
      <c r="Y240" s="94"/>
    </row>
    <row r="241">
      <c r="A241" s="1"/>
      <c r="B241" s="44"/>
      <c r="D241" s="44"/>
      <c r="E241" s="94"/>
      <c r="F241" s="94"/>
      <c r="G241" s="94"/>
      <c r="H241" s="94"/>
      <c r="I241" s="94"/>
      <c r="J241" s="94"/>
      <c r="K241" s="94"/>
      <c r="L241" s="94"/>
      <c r="M241" s="94"/>
      <c r="N241" s="94"/>
      <c r="O241" s="94"/>
      <c r="P241" s="94"/>
      <c r="Q241" s="94"/>
      <c r="R241" s="94"/>
      <c r="S241" s="94"/>
      <c r="T241" s="94"/>
      <c r="U241" s="94"/>
      <c r="V241" s="94"/>
      <c r="W241" s="94"/>
      <c r="X241" s="94"/>
      <c r="Y241" s="94"/>
    </row>
    <row r="242">
      <c r="A242" s="1"/>
      <c r="B242" s="44"/>
      <c r="D242" s="44"/>
      <c r="E242" s="94"/>
      <c r="F242" s="94"/>
      <c r="G242" s="94"/>
      <c r="H242" s="94"/>
      <c r="I242" s="94"/>
      <c r="J242" s="94"/>
      <c r="K242" s="94"/>
      <c r="L242" s="94"/>
      <c r="M242" s="94"/>
      <c r="N242" s="94"/>
      <c r="O242" s="94"/>
      <c r="P242" s="94"/>
      <c r="Q242" s="94"/>
      <c r="R242" s="94"/>
      <c r="S242" s="94"/>
      <c r="T242" s="94"/>
      <c r="U242" s="94"/>
      <c r="V242" s="94"/>
      <c r="W242" s="94"/>
      <c r="X242" s="94"/>
      <c r="Y242" s="94"/>
    </row>
    <row r="243">
      <c r="A243" s="1"/>
      <c r="B243" s="44"/>
      <c r="D243" s="44"/>
      <c r="E243" s="94"/>
      <c r="F243" s="94"/>
      <c r="G243" s="94"/>
      <c r="H243" s="94"/>
      <c r="I243" s="94"/>
      <c r="J243" s="94"/>
      <c r="K243" s="94"/>
      <c r="L243" s="94"/>
      <c r="M243" s="94"/>
      <c r="N243" s="94"/>
      <c r="O243" s="94"/>
      <c r="P243" s="94"/>
      <c r="Q243" s="94"/>
      <c r="R243" s="94"/>
      <c r="S243" s="94"/>
      <c r="T243" s="94"/>
      <c r="U243" s="94"/>
      <c r="V243" s="94"/>
      <c r="W243" s="94"/>
      <c r="X243" s="94"/>
      <c r="Y243" s="94"/>
    </row>
    <row r="244">
      <c r="A244" s="1"/>
      <c r="B244" s="44"/>
      <c r="D244" s="44"/>
      <c r="E244" s="94"/>
      <c r="F244" s="94"/>
      <c r="G244" s="94"/>
      <c r="H244" s="94"/>
      <c r="I244" s="94"/>
      <c r="J244" s="94"/>
      <c r="K244" s="94"/>
      <c r="L244" s="94"/>
      <c r="M244" s="94"/>
      <c r="N244" s="94"/>
      <c r="O244" s="94"/>
      <c r="P244" s="94"/>
      <c r="Q244" s="94"/>
      <c r="R244" s="94"/>
      <c r="S244" s="94"/>
      <c r="T244" s="94"/>
      <c r="U244" s="94"/>
      <c r="V244" s="94"/>
      <c r="W244" s="94"/>
      <c r="X244" s="94"/>
      <c r="Y244" s="94"/>
    </row>
    <row r="245">
      <c r="A245" s="1"/>
      <c r="B245" s="44"/>
      <c r="D245" s="44"/>
      <c r="E245" s="94"/>
      <c r="F245" s="94"/>
      <c r="G245" s="94"/>
      <c r="H245" s="94"/>
      <c r="I245" s="94"/>
      <c r="J245" s="94"/>
      <c r="K245" s="94"/>
      <c r="L245" s="94"/>
      <c r="M245" s="94"/>
      <c r="N245" s="94"/>
      <c r="O245" s="94"/>
      <c r="P245" s="94"/>
      <c r="Q245" s="94"/>
      <c r="R245" s="94"/>
      <c r="S245" s="94"/>
      <c r="T245" s="94"/>
      <c r="U245" s="94"/>
      <c r="V245" s="94"/>
      <c r="W245" s="94"/>
      <c r="X245" s="94"/>
      <c r="Y245" s="94"/>
    </row>
    <row r="246">
      <c r="A246" s="1"/>
      <c r="B246" s="44"/>
      <c r="D246" s="44"/>
      <c r="E246" s="94"/>
      <c r="F246" s="94"/>
      <c r="G246" s="94"/>
      <c r="H246" s="94"/>
      <c r="I246" s="94"/>
      <c r="J246" s="94"/>
      <c r="K246" s="94"/>
      <c r="L246" s="94"/>
      <c r="M246" s="94"/>
      <c r="N246" s="94"/>
      <c r="O246" s="94"/>
      <c r="P246" s="94"/>
      <c r="Q246" s="94"/>
      <c r="R246" s="94"/>
      <c r="S246" s="94"/>
      <c r="T246" s="94"/>
      <c r="U246" s="94"/>
      <c r="V246" s="94"/>
      <c r="W246" s="94"/>
      <c r="X246" s="94"/>
      <c r="Y246" s="94"/>
    </row>
    <row r="247">
      <c r="A247" s="1"/>
      <c r="B247" s="44"/>
      <c r="D247" s="44"/>
      <c r="E247" s="94"/>
      <c r="F247" s="94"/>
      <c r="G247" s="94"/>
      <c r="H247" s="94"/>
      <c r="I247" s="94"/>
      <c r="J247" s="94"/>
      <c r="K247" s="94"/>
      <c r="L247" s="94"/>
      <c r="M247" s="94"/>
      <c r="N247" s="94"/>
      <c r="O247" s="94"/>
      <c r="P247" s="94"/>
      <c r="Q247" s="94"/>
      <c r="R247" s="94"/>
      <c r="S247" s="94"/>
      <c r="T247" s="94"/>
      <c r="U247" s="94"/>
      <c r="V247" s="94"/>
      <c r="W247" s="94"/>
      <c r="X247" s="94"/>
      <c r="Y247" s="94"/>
    </row>
    <row r="248">
      <c r="A248" s="1"/>
      <c r="B248" s="44"/>
      <c r="D248" s="44"/>
      <c r="E248" s="94"/>
      <c r="F248" s="94"/>
      <c r="G248" s="94"/>
      <c r="H248" s="94"/>
      <c r="I248" s="94"/>
      <c r="J248" s="94"/>
      <c r="K248" s="94"/>
      <c r="L248" s="94"/>
      <c r="M248" s="94"/>
      <c r="N248" s="94"/>
      <c r="O248" s="94"/>
      <c r="P248" s="94"/>
      <c r="Q248" s="94"/>
      <c r="R248" s="94"/>
      <c r="S248" s="94"/>
      <c r="T248" s="94"/>
      <c r="U248" s="94"/>
      <c r="V248" s="94"/>
      <c r="W248" s="94"/>
      <c r="X248" s="94"/>
      <c r="Y248" s="94"/>
    </row>
    <row r="249">
      <c r="A249" s="1"/>
      <c r="B249" s="44"/>
      <c r="D249" s="44"/>
      <c r="E249" s="94"/>
      <c r="F249" s="94"/>
      <c r="G249" s="94"/>
      <c r="H249" s="94"/>
      <c r="I249" s="94"/>
      <c r="J249" s="94"/>
      <c r="K249" s="94"/>
      <c r="L249" s="94"/>
      <c r="M249" s="94"/>
      <c r="N249" s="94"/>
      <c r="O249" s="94"/>
      <c r="P249" s="94"/>
      <c r="Q249" s="94"/>
      <c r="R249" s="94"/>
      <c r="S249" s="94"/>
      <c r="T249" s="94"/>
      <c r="U249" s="94"/>
      <c r="V249" s="94"/>
      <c r="W249" s="94"/>
      <c r="X249" s="94"/>
      <c r="Y249" s="94"/>
    </row>
    <row r="250">
      <c r="A250" s="1"/>
      <c r="B250" s="44"/>
      <c r="D250" s="44"/>
      <c r="E250" s="94"/>
      <c r="F250" s="94"/>
      <c r="G250" s="94"/>
      <c r="H250" s="94"/>
      <c r="I250" s="94"/>
      <c r="J250" s="94"/>
      <c r="K250" s="94"/>
      <c r="L250" s="94"/>
      <c r="M250" s="94"/>
      <c r="N250" s="94"/>
      <c r="O250" s="94"/>
      <c r="P250" s="94"/>
      <c r="Q250" s="94"/>
      <c r="R250" s="94"/>
      <c r="S250" s="94"/>
      <c r="T250" s="94"/>
      <c r="U250" s="94"/>
      <c r="V250" s="94"/>
      <c r="W250" s="94"/>
      <c r="X250" s="94"/>
      <c r="Y250" s="94"/>
    </row>
    <row r="251">
      <c r="A251" s="1"/>
      <c r="B251" s="44"/>
      <c r="D251" s="44"/>
      <c r="E251" s="94"/>
      <c r="F251" s="94"/>
      <c r="G251" s="94"/>
      <c r="H251" s="94"/>
      <c r="I251" s="94"/>
      <c r="J251" s="94"/>
      <c r="K251" s="94"/>
      <c r="L251" s="94"/>
      <c r="M251" s="94"/>
      <c r="N251" s="94"/>
      <c r="O251" s="94"/>
      <c r="P251" s="94"/>
      <c r="Q251" s="94"/>
      <c r="R251" s="94"/>
      <c r="S251" s="94"/>
      <c r="T251" s="94"/>
      <c r="U251" s="94"/>
      <c r="V251" s="94"/>
      <c r="W251" s="94"/>
      <c r="X251" s="94"/>
      <c r="Y251" s="94"/>
    </row>
    <row r="252">
      <c r="A252" s="1"/>
      <c r="B252" s="44"/>
      <c r="D252" s="44"/>
      <c r="E252" s="94"/>
      <c r="F252" s="94"/>
      <c r="G252" s="94"/>
      <c r="H252" s="94"/>
      <c r="I252" s="94"/>
      <c r="J252" s="94"/>
      <c r="K252" s="94"/>
      <c r="L252" s="94"/>
      <c r="M252" s="94"/>
      <c r="N252" s="94"/>
      <c r="O252" s="94"/>
      <c r="P252" s="94"/>
      <c r="Q252" s="94"/>
      <c r="R252" s="94"/>
      <c r="S252" s="94"/>
      <c r="T252" s="94"/>
      <c r="U252" s="94"/>
      <c r="V252" s="94"/>
      <c r="W252" s="94"/>
      <c r="X252" s="94"/>
      <c r="Y252" s="94"/>
    </row>
    <row r="253">
      <c r="A253" s="1"/>
      <c r="B253" s="44"/>
      <c r="D253" s="44"/>
      <c r="E253" s="94"/>
      <c r="F253" s="94"/>
      <c r="G253" s="94"/>
      <c r="H253" s="94"/>
      <c r="I253" s="94"/>
      <c r="J253" s="94"/>
      <c r="K253" s="94"/>
      <c r="L253" s="94"/>
      <c r="M253" s="94"/>
      <c r="N253" s="94"/>
      <c r="O253" s="94"/>
      <c r="P253" s="94"/>
      <c r="Q253" s="94"/>
      <c r="R253" s="94"/>
      <c r="S253" s="94"/>
      <c r="T253" s="94"/>
      <c r="U253" s="94"/>
      <c r="V253" s="94"/>
      <c r="W253" s="94"/>
      <c r="X253" s="94"/>
      <c r="Y253" s="94"/>
    </row>
    <row r="254">
      <c r="A254" s="1"/>
      <c r="B254" s="44"/>
      <c r="D254" s="44"/>
      <c r="E254" s="94"/>
      <c r="F254" s="94"/>
      <c r="G254" s="94"/>
      <c r="H254" s="94"/>
      <c r="I254" s="94"/>
      <c r="J254" s="94"/>
      <c r="K254" s="94"/>
      <c r="L254" s="94"/>
      <c r="M254" s="94"/>
      <c r="N254" s="94"/>
      <c r="O254" s="94"/>
      <c r="P254" s="94"/>
      <c r="Q254" s="94"/>
      <c r="R254" s="94"/>
      <c r="S254" s="94"/>
      <c r="T254" s="94"/>
      <c r="U254" s="94"/>
      <c r="V254" s="94"/>
      <c r="W254" s="94"/>
      <c r="X254" s="94"/>
      <c r="Y254" s="94"/>
    </row>
    <row r="255">
      <c r="A255" s="1"/>
      <c r="B255" s="44"/>
      <c r="D255" s="44"/>
      <c r="E255" s="94"/>
      <c r="F255" s="94"/>
      <c r="G255" s="94"/>
      <c r="H255" s="94"/>
      <c r="I255" s="94"/>
      <c r="J255" s="94"/>
      <c r="K255" s="94"/>
      <c r="L255" s="94"/>
      <c r="M255" s="94"/>
      <c r="N255" s="94"/>
      <c r="O255" s="94"/>
      <c r="P255" s="94"/>
      <c r="Q255" s="94"/>
      <c r="R255" s="94"/>
      <c r="S255" s="94"/>
      <c r="T255" s="94"/>
      <c r="U255" s="94"/>
      <c r="V255" s="94"/>
      <c r="W255" s="94"/>
      <c r="X255" s="94"/>
      <c r="Y255" s="94"/>
    </row>
    <row r="256">
      <c r="A256" s="1"/>
      <c r="B256" s="44"/>
      <c r="D256" s="44"/>
      <c r="E256" s="94"/>
      <c r="F256" s="94"/>
      <c r="G256" s="94"/>
      <c r="H256" s="94"/>
      <c r="I256" s="94"/>
      <c r="J256" s="94"/>
      <c r="K256" s="94"/>
      <c r="L256" s="94"/>
      <c r="M256" s="94"/>
      <c r="N256" s="94"/>
      <c r="O256" s="94"/>
      <c r="P256" s="94"/>
      <c r="Q256" s="94"/>
      <c r="R256" s="94"/>
      <c r="S256" s="94"/>
      <c r="T256" s="94"/>
      <c r="U256" s="94"/>
      <c r="V256" s="94"/>
      <c r="W256" s="94"/>
      <c r="X256" s="94"/>
      <c r="Y256" s="94"/>
    </row>
    <row r="257">
      <c r="A257" s="1"/>
      <c r="B257" s="44"/>
      <c r="D257" s="44"/>
      <c r="E257" s="94"/>
      <c r="F257" s="94"/>
      <c r="G257" s="94"/>
      <c r="H257" s="94"/>
      <c r="I257" s="94"/>
      <c r="J257" s="94"/>
      <c r="K257" s="94"/>
      <c r="L257" s="94"/>
      <c r="M257" s="94"/>
      <c r="N257" s="94"/>
      <c r="O257" s="94"/>
      <c r="P257" s="94"/>
      <c r="Q257" s="94"/>
      <c r="R257" s="94"/>
      <c r="S257" s="94"/>
      <c r="T257" s="94"/>
      <c r="U257" s="94"/>
      <c r="V257" s="94"/>
      <c r="W257" s="94"/>
      <c r="X257" s="94"/>
      <c r="Y257" s="94"/>
    </row>
    <row r="258">
      <c r="A258" s="1"/>
      <c r="B258" s="44"/>
      <c r="D258" s="44"/>
      <c r="E258" s="94"/>
      <c r="F258" s="94"/>
      <c r="G258" s="94"/>
      <c r="H258" s="94"/>
      <c r="I258" s="94"/>
      <c r="J258" s="94"/>
      <c r="K258" s="94"/>
      <c r="L258" s="94"/>
      <c r="M258" s="94"/>
      <c r="N258" s="94"/>
      <c r="O258" s="94"/>
      <c r="P258" s="94"/>
      <c r="Q258" s="94"/>
      <c r="R258" s="94"/>
      <c r="S258" s="94"/>
      <c r="T258" s="94"/>
      <c r="U258" s="94"/>
      <c r="V258" s="94"/>
      <c r="W258" s="94"/>
      <c r="X258" s="94"/>
      <c r="Y258" s="94"/>
    </row>
    <row r="259">
      <c r="A259" s="1"/>
      <c r="B259" s="44"/>
      <c r="D259" s="44"/>
      <c r="E259" s="94"/>
      <c r="F259" s="94"/>
      <c r="G259" s="94"/>
      <c r="H259" s="94"/>
      <c r="I259" s="94"/>
      <c r="J259" s="94"/>
      <c r="K259" s="94"/>
      <c r="L259" s="94"/>
      <c r="M259" s="94"/>
      <c r="N259" s="94"/>
      <c r="O259" s="94"/>
      <c r="P259" s="94"/>
      <c r="Q259" s="94"/>
      <c r="R259" s="94"/>
      <c r="S259" s="94"/>
      <c r="T259" s="94"/>
      <c r="U259" s="94"/>
      <c r="V259" s="94"/>
      <c r="W259" s="94"/>
      <c r="X259" s="94"/>
      <c r="Y259" s="94"/>
    </row>
    <row r="260">
      <c r="A260" s="1"/>
      <c r="B260" s="44"/>
      <c r="D260" s="44"/>
      <c r="E260" s="94"/>
      <c r="F260" s="94"/>
      <c r="G260" s="94"/>
      <c r="H260" s="94"/>
      <c r="I260" s="94"/>
      <c r="J260" s="94"/>
      <c r="K260" s="94"/>
      <c r="L260" s="94"/>
      <c r="M260" s="94"/>
      <c r="N260" s="94"/>
      <c r="O260" s="94"/>
      <c r="P260" s="94"/>
      <c r="Q260" s="94"/>
      <c r="R260" s="94"/>
      <c r="S260" s="94"/>
      <c r="T260" s="94"/>
      <c r="U260" s="94"/>
      <c r="V260" s="94"/>
      <c r="W260" s="94"/>
      <c r="X260" s="94"/>
      <c r="Y260" s="94"/>
    </row>
    <row r="261">
      <c r="A261" s="1"/>
      <c r="B261" s="44"/>
      <c r="D261" s="44"/>
      <c r="E261" s="94"/>
      <c r="F261" s="94"/>
      <c r="G261" s="94"/>
      <c r="H261" s="94"/>
      <c r="I261" s="94"/>
      <c r="J261" s="94"/>
      <c r="K261" s="94"/>
      <c r="L261" s="94"/>
      <c r="M261" s="94"/>
      <c r="N261" s="94"/>
      <c r="O261" s="94"/>
      <c r="P261" s="94"/>
      <c r="Q261" s="94"/>
      <c r="R261" s="94"/>
      <c r="S261" s="94"/>
      <c r="T261" s="94"/>
      <c r="U261" s="94"/>
      <c r="V261" s="94"/>
      <c r="W261" s="94"/>
      <c r="X261" s="94"/>
      <c r="Y261" s="94"/>
    </row>
    <row r="262">
      <c r="A262" s="1"/>
      <c r="B262" s="44"/>
      <c r="D262" s="44"/>
      <c r="E262" s="94"/>
      <c r="F262" s="94"/>
      <c r="G262" s="94"/>
      <c r="H262" s="94"/>
      <c r="I262" s="94"/>
      <c r="J262" s="94"/>
      <c r="K262" s="94"/>
      <c r="L262" s="94"/>
      <c r="M262" s="94"/>
      <c r="N262" s="94"/>
      <c r="O262" s="94"/>
      <c r="P262" s="94"/>
      <c r="Q262" s="94"/>
      <c r="R262" s="94"/>
      <c r="S262" s="94"/>
      <c r="T262" s="94"/>
      <c r="U262" s="94"/>
      <c r="V262" s="94"/>
      <c r="W262" s="94"/>
      <c r="X262" s="94"/>
      <c r="Y262" s="94"/>
    </row>
    <row r="263">
      <c r="A263" s="1"/>
      <c r="B263" s="44"/>
      <c r="D263" s="44"/>
      <c r="E263" s="94"/>
      <c r="F263" s="94"/>
      <c r="G263" s="94"/>
      <c r="H263" s="94"/>
      <c r="I263" s="94"/>
      <c r="J263" s="94"/>
      <c r="K263" s="94"/>
      <c r="L263" s="94"/>
      <c r="M263" s="94"/>
      <c r="N263" s="94"/>
      <c r="O263" s="94"/>
      <c r="P263" s="94"/>
      <c r="Q263" s="94"/>
      <c r="R263" s="94"/>
      <c r="S263" s="94"/>
      <c r="T263" s="94"/>
      <c r="U263" s="94"/>
      <c r="V263" s="94"/>
      <c r="W263" s="94"/>
      <c r="X263" s="94"/>
      <c r="Y263" s="94"/>
    </row>
    <row r="264">
      <c r="A264" s="1"/>
      <c r="B264" s="44"/>
      <c r="D264" s="44"/>
      <c r="E264" s="94"/>
      <c r="F264" s="94"/>
      <c r="G264" s="94"/>
      <c r="H264" s="94"/>
      <c r="I264" s="94"/>
      <c r="J264" s="94"/>
      <c r="K264" s="94"/>
      <c r="L264" s="94"/>
      <c r="M264" s="94"/>
      <c r="N264" s="94"/>
      <c r="O264" s="94"/>
      <c r="P264" s="94"/>
      <c r="Q264" s="94"/>
      <c r="R264" s="94"/>
      <c r="S264" s="94"/>
      <c r="T264" s="94"/>
      <c r="U264" s="94"/>
      <c r="V264" s="94"/>
      <c r="W264" s="94"/>
      <c r="X264" s="94"/>
      <c r="Y264" s="94"/>
    </row>
    <row r="265">
      <c r="A265" s="1"/>
      <c r="B265" s="44"/>
      <c r="D265" s="44"/>
      <c r="E265" s="94"/>
      <c r="F265" s="94"/>
      <c r="G265" s="94"/>
      <c r="H265" s="94"/>
      <c r="I265" s="94"/>
      <c r="J265" s="94"/>
      <c r="K265" s="94"/>
      <c r="L265" s="94"/>
      <c r="M265" s="94"/>
      <c r="N265" s="94"/>
      <c r="O265" s="94"/>
      <c r="P265" s="94"/>
      <c r="Q265" s="94"/>
      <c r="R265" s="94"/>
      <c r="S265" s="94"/>
      <c r="T265" s="94"/>
      <c r="U265" s="94"/>
      <c r="V265" s="94"/>
      <c r="W265" s="94"/>
      <c r="X265" s="94"/>
      <c r="Y265" s="94"/>
    </row>
    <row r="266">
      <c r="A266" s="1"/>
      <c r="B266" s="44"/>
      <c r="D266" s="44"/>
      <c r="E266" s="94"/>
      <c r="F266" s="94"/>
      <c r="G266" s="94"/>
      <c r="H266" s="94"/>
      <c r="I266" s="94"/>
      <c r="J266" s="94"/>
      <c r="K266" s="94"/>
      <c r="L266" s="94"/>
      <c r="M266" s="94"/>
      <c r="N266" s="94"/>
      <c r="O266" s="94"/>
      <c r="P266" s="94"/>
      <c r="Q266" s="94"/>
      <c r="R266" s="94"/>
      <c r="S266" s="94"/>
      <c r="T266" s="94"/>
      <c r="U266" s="94"/>
      <c r="V266" s="94"/>
      <c r="W266" s="94"/>
      <c r="X266" s="94"/>
      <c r="Y266" s="94"/>
    </row>
    <row r="267">
      <c r="A267" s="1"/>
      <c r="B267" s="44"/>
      <c r="D267" s="44"/>
      <c r="E267" s="94"/>
      <c r="F267" s="94"/>
      <c r="G267" s="94"/>
      <c r="H267" s="94"/>
      <c r="I267" s="94"/>
      <c r="J267" s="94"/>
      <c r="K267" s="94"/>
      <c r="L267" s="94"/>
      <c r="M267" s="94"/>
      <c r="N267" s="94"/>
      <c r="O267" s="94"/>
      <c r="P267" s="94"/>
      <c r="Q267" s="94"/>
      <c r="R267" s="94"/>
      <c r="S267" s="94"/>
      <c r="T267" s="94"/>
      <c r="U267" s="94"/>
      <c r="V267" s="94"/>
      <c r="W267" s="94"/>
      <c r="X267" s="94"/>
      <c r="Y267" s="94"/>
    </row>
    <row r="268">
      <c r="A268" s="1"/>
      <c r="B268" s="44"/>
      <c r="D268" s="44"/>
      <c r="E268" s="94"/>
      <c r="F268" s="94"/>
      <c r="G268" s="94"/>
      <c r="H268" s="94"/>
      <c r="I268" s="94"/>
      <c r="J268" s="94"/>
      <c r="K268" s="94"/>
      <c r="L268" s="94"/>
      <c r="M268" s="94"/>
      <c r="N268" s="94"/>
      <c r="O268" s="94"/>
      <c r="P268" s="94"/>
      <c r="Q268" s="94"/>
      <c r="R268" s="94"/>
      <c r="S268" s="94"/>
      <c r="T268" s="94"/>
      <c r="U268" s="94"/>
      <c r="V268" s="94"/>
      <c r="W268" s="94"/>
      <c r="X268" s="94"/>
      <c r="Y268" s="94"/>
    </row>
    <row r="269">
      <c r="A269" s="1"/>
      <c r="B269" s="44"/>
      <c r="D269" s="44"/>
      <c r="E269" s="94"/>
      <c r="F269" s="94"/>
      <c r="G269" s="94"/>
      <c r="H269" s="94"/>
      <c r="I269" s="94"/>
      <c r="J269" s="94"/>
      <c r="K269" s="94"/>
      <c r="L269" s="94"/>
      <c r="M269" s="94"/>
      <c r="N269" s="94"/>
      <c r="O269" s="94"/>
      <c r="P269" s="94"/>
      <c r="Q269" s="94"/>
      <c r="R269" s="94"/>
      <c r="S269" s="94"/>
      <c r="T269" s="94"/>
      <c r="U269" s="94"/>
      <c r="V269" s="94"/>
      <c r="W269" s="94"/>
      <c r="X269" s="94"/>
      <c r="Y269" s="94"/>
    </row>
    <row r="270">
      <c r="A270" s="1"/>
      <c r="B270" s="44"/>
      <c r="D270" s="44"/>
      <c r="E270" s="94"/>
      <c r="F270" s="94"/>
      <c r="G270" s="94"/>
      <c r="H270" s="94"/>
      <c r="I270" s="94"/>
      <c r="J270" s="94"/>
      <c r="K270" s="94"/>
      <c r="L270" s="94"/>
      <c r="M270" s="94"/>
      <c r="N270" s="94"/>
      <c r="O270" s="94"/>
      <c r="P270" s="94"/>
      <c r="Q270" s="94"/>
      <c r="R270" s="94"/>
      <c r="S270" s="94"/>
      <c r="T270" s="94"/>
      <c r="U270" s="94"/>
      <c r="V270" s="94"/>
      <c r="W270" s="94"/>
      <c r="X270" s="94"/>
      <c r="Y270" s="94"/>
    </row>
    <row r="271">
      <c r="A271" s="1"/>
      <c r="B271" s="44"/>
      <c r="D271" s="44"/>
      <c r="E271" s="94"/>
      <c r="F271" s="94"/>
      <c r="G271" s="94"/>
      <c r="H271" s="94"/>
      <c r="I271" s="94"/>
      <c r="J271" s="94"/>
      <c r="K271" s="94"/>
      <c r="L271" s="94"/>
      <c r="M271" s="94"/>
      <c r="N271" s="94"/>
      <c r="O271" s="94"/>
      <c r="P271" s="94"/>
      <c r="Q271" s="94"/>
      <c r="R271" s="94"/>
      <c r="S271" s="94"/>
      <c r="T271" s="94"/>
      <c r="U271" s="94"/>
      <c r="V271" s="94"/>
      <c r="W271" s="94"/>
      <c r="X271" s="94"/>
      <c r="Y271" s="94"/>
    </row>
    <row r="272">
      <c r="A272" s="1"/>
      <c r="B272" s="44"/>
      <c r="D272" s="44"/>
      <c r="E272" s="94"/>
      <c r="F272" s="94"/>
      <c r="G272" s="94"/>
      <c r="H272" s="94"/>
      <c r="I272" s="94"/>
      <c r="J272" s="94"/>
      <c r="K272" s="94"/>
      <c r="L272" s="94"/>
      <c r="M272" s="94"/>
      <c r="N272" s="94"/>
      <c r="O272" s="94"/>
      <c r="P272" s="94"/>
      <c r="Q272" s="94"/>
      <c r="R272" s="94"/>
      <c r="S272" s="94"/>
      <c r="T272" s="94"/>
      <c r="U272" s="94"/>
      <c r="V272" s="94"/>
      <c r="W272" s="94"/>
      <c r="X272" s="94"/>
      <c r="Y272" s="94"/>
    </row>
    <row r="273">
      <c r="A273" s="1"/>
      <c r="B273" s="44"/>
      <c r="D273" s="44"/>
      <c r="E273" s="94"/>
      <c r="F273" s="94"/>
      <c r="G273" s="94"/>
      <c r="H273" s="94"/>
      <c r="I273" s="94"/>
      <c r="J273" s="94"/>
      <c r="K273" s="94"/>
      <c r="L273" s="94"/>
      <c r="M273" s="94"/>
      <c r="N273" s="94"/>
      <c r="O273" s="94"/>
      <c r="P273" s="94"/>
      <c r="Q273" s="94"/>
      <c r="R273" s="94"/>
      <c r="S273" s="94"/>
      <c r="T273" s="94"/>
      <c r="U273" s="94"/>
      <c r="V273" s="94"/>
      <c r="W273" s="94"/>
      <c r="X273" s="94"/>
      <c r="Y273" s="94"/>
    </row>
    <row r="274">
      <c r="A274" s="1"/>
      <c r="B274" s="44"/>
      <c r="D274" s="44"/>
      <c r="E274" s="94"/>
      <c r="F274" s="94"/>
      <c r="G274" s="94"/>
      <c r="H274" s="94"/>
      <c r="I274" s="94"/>
      <c r="J274" s="94"/>
      <c r="K274" s="94"/>
      <c r="L274" s="94"/>
      <c r="M274" s="94"/>
      <c r="N274" s="94"/>
      <c r="O274" s="94"/>
      <c r="P274" s="94"/>
      <c r="Q274" s="94"/>
      <c r="R274" s="94"/>
      <c r="S274" s="94"/>
      <c r="T274" s="94"/>
      <c r="U274" s="94"/>
      <c r="V274" s="94"/>
      <c r="W274" s="94"/>
      <c r="X274" s="94"/>
      <c r="Y274" s="94"/>
    </row>
    <row r="275">
      <c r="A275" s="1"/>
      <c r="B275" s="44"/>
      <c r="D275" s="44"/>
      <c r="E275" s="94"/>
      <c r="F275" s="94"/>
      <c r="G275" s="94"/>
      <c r="H275" s="94"/>
      <c r="I275" s="94"/>
      <c r="J275" s="94"/>
      <c r="K275" s="94"/>
      <c r="L275" s="94"/>
      <c r="M275" s="94"/>
      <c r="N275" s="94"/>
      <c r="O275" s="94"/>
      <c r="P275" s="94"/>
      <c r="Q275" s="94"/>
      <c r="R275" s="94"/>
      <c r="S275" s="94"/>
      <c r="T275" s="94"/>
      <c r="U275" s="94"/>
      <c r="V275" s="94"/>
      <c r="W275" s="94"/>
      <c r="X275" s="94"/>
      <c r="Y275" s="94"/>
    </row>
    <row r="276">
      <c r="A276" s="1"/>
      <c r="B276" s="44"/>
      <c r="D276" s="44"/>
      <c r="E276" s="94"/>
      <c r="F276" s="94"/>
      <c r="G276" s="94"/>
      <c r="H276" s="94"/>
      <c r="I276" s="94"/>
      <c r="J276" s="94"/>
      <c r="K276" s="94"/>
      <c r="L276" s="94"/>
      <c r="M276" s="94"/>
      <c r="N276" s="94"/>
      <c r="O276" s="94"/>
      <c r="P276" s="94"/>
      <c r="Q276" s="94"/>
      <c r="R276" s="94"/>
      <c r="S276" s="94"/>
      <c r="T276" s="94"/>
      <c r="U276" s="94"/>
      <c r="V276" s="94"/>
      <c r="W276" s="94"/>
      <c r="X276" s="94"/>
      <c r="Y276" s="94"/>
    </row>
    <row r="277">
      <c r="A277" s="1"/>
      <c r="B277" s="44"/>
      <c r="D277" s="44"/>
      <c r="E277" s="94"/>
      <c r="F277" s="94"/>
      <c r="G277" s="94"/>
      <c r="H277" s="94"/>
      <c r="I277" s="94"/>
      <c r="J277" s="94"/>
      <c r="K277" s="94"/>
      <c r="L277" s="94"/>
      <c r="M277" s="94"/>
      <c r="N277" s="94"/>
      <c r="O277" s="94"/>
      <c r="P277" s="94"/>
      <c r="Q277" s="94"/>
      <c r="R277" s="94"/>
      <c r="S277" s="94"/>
      <c r="T277" s="94"/>
      <c r="U277" s="94"/>
      <c r="V277" s="94"/>
      <c r="W277" s="94"/>
      <c r="X277" s="94"/>
      <c r="Y277" s="94"/>
    </row>
    <row r="278">
      <c r="A278" s="1"/>
      <c r="B278" s="44"/>
      <c r="D278" s="44"/>
      <c r="E278" s="94"/>
      <c r="F278" s="94"/>
      <c r="G278" s="94"/>
      <c r="H278" s="94"/>
      <c r="I278" s="94"/>
      <c r="J278" s="94"/>
      <c r="K278" s="94"/>
      <c r="L278" s="94"/>
      <c r="M278" s="94"/>
      <c r="N278" s="94"/>
      <c r="O278" s="94"/>
      <c r="P278" s="94"/>
      <c r="Q278" s="94"/>
      <c r="R278" s="94"/>
      <c r="S278" s="94"/>
      <c r="T278" s="94"/>
      <c r="U278" s="94"/>
      <c r="V278" s="94"/>
      <c r="W278" s="94"/>
      <c r="X278" s="94"/>
      <c r="Y278" s="94"/>
    </row>
    <row r="279">
      <c r="A279" s="1"/>
      <c r="B279" s="44"/>
      <c r="D279" s="44"/>
      <c r="E279" s="94"/>
      <c r="F279" s="94"/>
      <c r="G279" s="94"/>
      <c r="H279" s="94"/>
      <c r="I279" s="94"/>
      <c r="J279" s="94"/>
      <c r="K279" s="94"/>
      <c r="L279" s="94"/>
      <c r="M279" s="94"/>
      <c r="N279" s="94"/>
      <c r="O279" s="94"/>
      <c r="P279" s="94"/>
      <c r="Q279" s="94"/>
      <c r="R279" s="94"/>
      <c r="S279" s="94"/>
      <c r="T279" s="94"/>
      <c r="U279" s="94"/>
      <c r="V279" s="94"/>
      <c r="W279" s="94"/>
      <c r="X279" s="94"/>
      <c r="Y279" s="94"/>
    </row>
    <row r="280">
      <c r="A280" s="1"/>
      <c r="B280" s="44"/>
      <c r="D280" s="44"/>
      <c r="E280" s="94"/>
      <c r="F280" s="94"/>
      <c r="G280" s="94"/>
      <c r="H280" s="94"/>
      <c r="I280" s="94"/>
      <c r="J280" s="94"/>
      <c r="K280" s="94"/>
      <c r="L280" s="94"/>
      <c r="M280" s="94"/>
      <c r="N280" s="94"/>
      <c r="O280" s="94"/>
      <c r="P280" s="94"/>
      <c r="Q280" s="94"/>
      <c r="R280" s="94"/>
      <c r="S280" s="94"/>
      <c r="T280" s="94"/>
      <c r="U280" s="94"/>
      <c r="V280" s="94"/>
      <c r="W280" s="94"/>
      <c r="X280" s="94"/>
      <c r="Y280" s="94"/>
    </row>
    <row r="281">
      <c r="A281" s="1"/>
      <c r="B281" s="44"/>
      <c r="D281" s="44"/>
      <c r="E281" s="94"/>
      <c r="F281" s="94"/>
      <c r="G281" s="94"/>
      <c r="H281" s="94"/>
      <c r="I281" s="94"/>
      <c r="J281" s="94"/>
      <c r="K281" s="94"/>
      <c r="L281" s="94"/>
      <c r="M281" s="94"/>
      <c r="N281" s="94"/>
      <c r="O281" s="94"/>
      <c r="P281" s="94"/>
      <c r="Q281" s="94"/>
      <c r="R281" s="94"/>
      <c r="S281" s="94"/>
      <c r="T281" s="94"/>
      <c r="U281" s="94"/>
      <c r="V281" s="94"/>
      <c r="W281" s="94"/>
      <c r="X281" s="94"/>
      <c r="Y281" s="94"/>
    </row>
    <row r="282">
      <c r="A282" s="1"/>
      <c r="B282" s="44"/>
      <c r="D282" s="44"/>
      <c r="E282" s="94"/>
      <c r="F282" s="94"/>
      <c r="G282" s="94"/>
      <c r="H282" s="94"/>
      <c r="I282" s="94"/>
      <c r="J282" s="94"/>
      <c r="K282" s="94"/>
      <c r="L282" s="94"/>
      <c r="M282" s="94"/>
      <c r="N282" s="94"/>
      <c r="O282" s="94"/>
      <c r="P282" s="94"/>
      <c r="Q282" s="94"/>
      <c r="R282" s="94"/>
      <c r="S282" s="94"/>
      <c r="T282" s="94"/>
      <c r="U282" s="94"/>
      <c r="V282" s="94"/>
      <c r="W282" s="94"/>
      <c r="X282" s="94"/>
      <c r="Y282" s="94"/>
    </row>
    <row r="283">
      <c r="A283" s="1"/>
      <c r="B283" s="44"/>
      <c r="D283" s="44"/>
      <c r="E283" s="94"/>
      <c r="F283" s="94"/>
      <c r="G283" s="94"/>
      <c r="H283" s="94"/>
      <c r="I283" s="94"/>
      <c r="J283" s="94"/>
      <c r="K283" s="94"/>
      <c r="L283" s="94"/>
      <c r="M283" s="94"/>
      <c r="N283" s="94"/>
      <c r="O283" s="94"/>
      <c r="P283" s="94"/>
      <c r="Q283" s="94"/>
      <c r="R283" s="94"/>
      <c r="S283" s="94"/>
      <c r="T283" s="94"/>
      <c r="U283" s="94"/>
      <c r="V283" s="94"/>
      <c r="W283" s="94"/>
      <c r="X283" s="94"/>
      <c r="Y283" s="94"/>
    </row>
    <row r="284">
      <c r="A284" s="1"/>
      <c r="B284" s="44"/>
      <c r="D284" s="44"/>
      <c r="E284" s="94"/>
      <c r="F284" s="94"/>
      <c r="G284" s="94"/>
      <c r="H284" s="94"/>
      <c r="I284" s="94"/>
      <c r="J284" s="94"/>
      <c r="K284" s="94"/>
      <c r="L284" s="94"/>
      <c r="M284" s="94"/>
      <c r="N284" s="94"/>
      <c r="O284" s="94"/>
      <c r="P284" s="94"/>
      <c r="Q284" s="94"/>
      <c r="R284" s="94"/>
      <c r="S284" s="94"/>
      <c r="T284" s="94"/>
      <c r="U284" s="94"/>
      <c r="V284" s="94"/>
      <c r="W284" s="94"/>
      <c r="X284" s="94"/>
      <c r="Y284" s="94"/>
    </row>
    <row r="285">
      <c r="A285" s="1"/>
      <c r="B285" s="44"/>
      <c r="D285" s="44"/>
      <c r="E285" s="94"/>
      <c r="F285" s="94"/>
      <c r="G285" s="94"/>
      <c r="H285" s="94"/>
      <c r="I285" s="94"/>
      <c r="J285" s="94"/>
      <c r="K285" s="94"/>
      <c r="L285" s="94"/>
      <c r="M285" s="94"/>
      <c r="N285" s="94"/>
      <c r="O285" s="94"/>
      <c r="P285" s="94"/>
      <c r="Q285" s="94"/>
      <c r="R285" s="94"/>
      <c r="S285" s="94"/>
      <c r="T285" s="94"/>
      <c r="U285" s="94"/>
      <c r="V285" s="94"/>
      <c r="W285" s="94"/>
      <c r="X285" s="94"/>
      <c r="Y285" s="94"/>
    </row>
    <row r="286">
      <c r="A286" s="1"/>
      <c r="B286" s="44"/>
      <c r="D286" s="44"/>
      <c r="E286" s="94"/>
      <c r="F286" s="94"/>
      <c r="G286" s="94"/>
      <c r="H286" s="94"/>
      <c r="I286" s="94"/>
      <c r="J286" s="94"/>
      <c r="K286" s="94"/>
      <c r="L286" s="94"/>
      <c r="M286" s="94"/>
      <c r="N286" s="94"/>
      <c r="O286" s="94"/>
      <c r="P286" s="94"/>
      <c r="Q286" s="94"/>
      <c r="R286" s="94"/>
      <c r="S286" s="94"/>
      <c r="T286" s="94"/>
      <c r="U286" s="94"/>
      <c r="V286" s="94"/>
      <c r="W286" s="94"/>
      <c r="X286" s="94"/>
      <c r="Y286" s="94"/>
    </row>
    <row r="287">
      <c r="A287" s="1"/>
      <c r="B287" s="44"/>
      <c r="D287" s="44"/>
      <c r="E287" s="94"/>
      <c r="F287" s="94"/>
      <c r="G287" s="94"/>
      <c r="H287" s="94"/>
      <c r="I287" s="94"/>
      <c r="J287" s="94"/>
      <c r="K287" s="94"/>
      <c r="L287" s="94"/>
      <c r="M287" s="94"/>
      <c r="N287" s="94"/>
      <c r="O287" s="94"/>
      <c r="P287" s="94"/>
      <c r="Q287" s="94"/>
      <c r="R287" s="94"/>
      <c r="S287" s="94"/>
      <c r="T287" s="94"/>
      <c r="U287" s="94"/>
      <c r="V287" s="94"/>
      <c r="W287" s="94"/>
      <c r="X287" s="94"/>
      <c r="Y287" s="94"/>
    </row>
    <row r="288">
      <c r="A288" s="1"/>
      <c r="B288" s="44"/>
      <c r="D288" s="44"/>
      <c r="E288" s="94"/>
      <c r="F288" s="94"/>
      <c r="G288" s="94"/>
      <c r="H288" s="94"/>
      <c r="I288" s="94"/>
      <c r="J288" s="94"/>
      <c r="K288" s="94"/>
      <c r="L288" s="94"/>
      <c r="M288" s="94"/>
      <c r="N288" s="94"/>
      <c r="O288" s="94"/>
      <c r="P288" s="94"/>
      <c r="Q288" s="94"/>
      <c r="R288" s="94"/>
      <c r="S288" s="94"/>
      <c r="T288" s="94"/>
      <c r="U288" s="94"/>
      <c r="V288" s="94"/>
      <c r="W288" s="94"/>
      <c r="X288" s="94"/>
      <c r="Y288" s="94"/>
    </row>
    <row r="289">
      <c r="A289" s="1"/>
      <c r="B289" s="44"/>
      <c r="D289" s="44"/>
      <c r="E289" s="94"/>
      <c r="F289" s="94"/>
      <c r="G289" s="94"/>
      <c r="H289" s="94"/>
      <c r="I289" s="94"/>
      <c r="J289" s="94"/>
      <c r="K289" s="94"/>
      <c r="L289" s="94"/>
      <c r="M289" s="94"/>
      <c r="N289" s="94"/>
      <c r="O289" s="94"/>
      <c r="P289" s="94"/>
      <c r="Q289" s="94"/>
      <c r="R289" s="94"/>
      <c r="S289" s="94"/>
      <c r="T289" s="94"/>
      <c r="U289" s="94"/>
      <c r="V289" s="94"/>
      <c r="W289" s="94"/>
      <c r="X289" s="94"/>
      <c r="Y289" s="94"/>
    </row>
    <row r="290">
      <c r="A290" s="1"/>
      <c r="B290" s="44"/>
      <c r="D290" s="44"/>
      <c r="E290" s="94"/>
      <c r="F290" s="94"/>
      <c r="G290" s="94"/>
      <c r="H290" s="94"/>
      <c r="I290" s="94"/>
      <c r="J290" s="94"/>
      <c r="K290" s="94"/>
      <c r="L290" s="94"/>
      <c r="M290" s="94"/>
      <c r="N290" s="94"/>
      <c r="O290" s="94"/>
      <c r="P290" s="94"/>
      <c r="Q290" s="94"/>
      <c r="R290" s="94"/>
      <c r="S290" s="94"/>
      <c r="T290" s="94"/>
      <c r="U290" s="94"/>
      <c r="V290" s="94"/>
      <c r="W290" s="94"/>
      <c r="X290" s="94"/>
      <c r="Y290" s="94"/>
    </row>
    <row r="291">
      <c r="A291" s="1"/>
      <c r="B291" s="44"/>
      <c r="D291" s="44"/>
      <c r="E291" s="94"/>
      <c r="F291" s="94"/>
      <c r="G291" s="94"/>
      <c r="H291" s="94"/>
      <c r="I291" s="94"/>
      <c r="J291" s="94"/>
      <c r="K291" s="94"/>
      <c r="L291" s="94"/>
      <c r="M291" s="94"/>
      <c r="N291" s="94"/>
      <c r="O291" s="94"/>
      <c r="P291" s="94"/>
      <c r="Q291" s="94"/>
      <c r="R291" s="94"/>
      <c r="S291" s="94"/>
      <c r="T291" s="94"/>
      <c r="U291" s="94"/>
      <c r="V291" s="94"/>
      <c r="W291" s="94"/>
      <c r="X291" s="94"/>
      <c r="Y291" s="94"/>
    </row>
    <row r="292">
      <c r="A292" s="1"/>
      <c r="B292" s="44"/>
      <c r="D292" s="44"/>
      <c r="E292" s="94"/>
      <c r="F292" s="94"/>
      <c r="G292" s="94"/>
      <c r="H292" s="94"/>
      <c r="I292" s="94"/>
      <c r="J292" s="94"/>
      <c r="K292" s="94"/>
      <c r="L292" s="94"/>
      <c r="M292" s="94"/>
      <c r="N292" s="94"/>
      <c r="O292" s="94"/>
      <c r="P292" s="94"/>
      <c r="Q292" s="94"/>
      <c r="R292" s="94"/>
      <c r="S292" s="94"/>
      <c r="T292" s="94"/>
      <c r="U292" s="94"/>
      <c r="V292" s="94"/>
      <c r="W292" s="94"/>
      <c r="X292" s="94"/>
      <c r="Y292" s="94"/>
    </row>
    <row r="293">
      <c r="A293" s="1"/>
      <c r="B293" s="44"/>
      <c r="D293" s="44"/>
      <c r="E293" s="94"/>
      <c r="F293" s="94"/>
      <c r="G293" s="94"/>
      <c r="H293" s="94"/>
      <c r="I293" s="94"/>
      <c r="J293" s="94"/>
      <c r="K293" s="94"/>
      <c r="L293" s="94"/>
      <c r="M293" s="94"/>
      <c r="N293" s="94"/>
      <c r="O293" s="94"/>
      <c r="P293" s="94"/>
      <c r="Q293" s="94"/>
      <c r="R293" s="94"/>
      <c r="S293" s="94"/>
      <c r="T293" s="94"/>
      <c r="U293" s="94"/>
      <c r="V293" s="94"/>
      <c r="W293" s="94"/>
      <c r="X293" s="94"/>
      <c r="Y293" s="94"/>
    </row>
    <row r="294">
      <c r="A294" s="1"/>
      <c r="B294" s="44"/>
      <c r="D294" s="44"/>
      <c r="E294" s="94"/>
      <c r="F294" s="94"/>
      <c r="G294" s="94"/>
      <c r="H294" s="94"/>
      <c r="I294" s="94"/>
      <c r="J294" s="94"/>
      <c r="K294" s="94"/>
      <c r="L294" s="94"/>
      <c r="M294" s="94"/>
      <c r="N294" s="94"/>
      <c r="O294" s="94"/>
      <c r="P294" s="94"/>
      <c r="Q294" s="94"/>
      <c r="R294" s="94"/>
      <c r="S294" s="94"/>
      <c r="T294" s="94"/>
      <c r="U294" s="94"/>
      <c r="V294" s="94"/>
      <c r="W294" s="94"/>
      <c r="X294" s="94"/>
      <c r="Y294" s="94"/>
    </row>
    <row r="295">
      <c r="A295" s="1"/>
      <c r="B295" s="44"/>
      <c r="D295" s="44"/>
      <c r="E295" s="94"/>
      <c r="F295" s="94"/>
      <c r="G295" s="94"/>
      <c r="H295" s="94"/>
      <c r="I295" s="94"/>
      <c r="J295" s="94"/>
      <c r="K295" s="94"/>
      <c r="L295" s="94"/>
      <c r="M295" s="94"/>
      <c r="N295" s="94"/>
      <c r="O295" s="94"/>
      <c r="P295" s="94"/>
      <c r="Q295" s="94"/>
      <c r="R295" s="94"/>
      <c r="S295" s="94"/>
      <c r="T295" s="94"/>
      <c r="U295" s="94"/>
      <c r="V295" s="94"/>
      <c r="W295" s="94"/>
      <c r="X295" s="94"/>
      <c r="Y295" s="94"/>
    </row>
    <row r="296">
      <c r="A296" s="1"/>
      <c r="B296" s="44"/>
      <c r="D296" s="44"/>
      <c r="E296" s="94"/>
      <c r="F296" s="94"/>
      <c r="G296" s="94"/>
      <c r="H296" s="94"/>
      <c r="I296" s="94"/>
      <c r="J296" s="94"/>
      <c r="K296" s="94"/>
      <c r="L296" s="94"/>
      <c r="M296" s="94"/>
      <c r="N296" s="94"/>
      <c r="O296" s="94"/>
      <c r="P296" s="94"/>
      <c r="Q296" s="94"/>
      <c r="R296" s="94"/>
      <c r="S296" s="94"/>
      <c r="T296" s="94"/>
      <c r="U296" s="94"/>
      <c r="V296" s="94"/>
      <c r="W296" s="94"/>
      <c r="X296" s="94"/>
      <c r="Y296" s="94"/>
    </row>
    <row r="297">
      <c r="A297" s="1"/>
      <c r="B297" s="44"/>
      <c r="D297" s="44"/>
      <c r="E297" s="94"/>
      <c r="F297" s="94"/>
      <c r="G297" s="94"/>
      <c r="H297" s="94"/>
      <c r="I297" s="94"/>
      <c r="J297" s="94"/>
      <c r="K297" s="94"/>
      <c r="L297" s="94"/>
      <c r="M297" s="94"/>
      <c r="N297" s="94"/>
      <c r="O297" s="94"/>
      <c r="P297" s="94"/>
      <c r="Q297" s="94"/>
      <c r="R297" s="94"/>
      <c r="S297" s="94"/>
      <c r="T297" s="94"/>
      <c r="U297" s="94"/>
      <c r="V297" s="94"/>
      <c r="W297" s="94"/>
      <c r="X297" s="94"/>
      <c r="Y297" s="94"/>
    </row>
    <row r="298">
      <c r="A298" s="1"/>
      <c r="B298" s="44"/>
      <c r="D298" s="44"/>
      <c r="E298" s="94"/>
      <c r="F298" s="94"/>
      <c r="G298" s="94"/>
      <c r="H298" s="94"/>
      <c r="I298" s="94"/>
      <c r="J298" s="94"/>
      <c r="K298" s="94"/>
      <c r="L298" s="94"/>
      <c r="M298" s="94"/>
      <c r="N298" s="94"/>
      <c r="O298" s="94"/>
      <c r="P298" s="94"/>
      <c r="Q298" s="94"/>
      <c r="R298" s="94"/>
      <c r="S298" s="94"/>
      <c r="T298" s="94"/>
      <c r="U298" s="94"/>
      <c r="V298" s="94"/>
      <c r="W298" s="94"/>
      <c r="X298" s="94"/>
      <c r="Y298" s="94"/>
    </row>
    <row r="299">
      <c r="A299" s="1"/>
      <c r="B299" s="44"/>
      <c r="D299" s="44"/>
      <c r="E299" s="94"/>
      <c r="F299" s="94"/>
      <c r="G299" s="94"/>
      <c r="H299" s="94"/>
      <c r="I299" s="94"/>
      <c r="J299" s="94"/>
      <c r="K299" s="94"/>
      <c r="L299" s="94"/>
      <c r="M299" s="94"/>
      <c r="N299" s="94"/>
      <c r="O299" s="94"/>
      <c r="P299" s="94"/>
      <c r="Q299" s="94"/>
      <c r="R299" s="94"/>
      <c r="S299" s="94"/>
      <c r="T299" s="94"/>
      <c r="U299" s="94"/>
      <c r="V299" s="94"/>
      <c r="W299" s="94"/>
      <c r="X299" s="94"/>
      <c r="Y299" s="94"/>
    </row>
    <row r="300">
      <c r="A300" s="1"/>
      <c r="B300" s="44"/>
      <c r="D300" s="44"/>
      <c r="E300" s="94"/>
      <c r="F300" s="94"/>
      <c r="G300" s="94"/>
      <c r="H300" s="94"/>
      <c r="I300" s="94"/>
      <c r="J300" s="94"/>
      <c r="K300" s="94"/>
      <c r="L300" s="94"/>
      <c r="M300" s="94"/>
      <c r="N300" s="94"/>
      <c r="O300" s="94"/>
      <c r="P300" s="94"/>
      <c r="Q300" s="94"/>
      <c r="R300" s="94"/>
      <c r="S300" s="94"/>
      <c r="T300" s="94"/>
      <c r="U300" s="94"/>
      <c r="V300" s="94"/>
      <c r="W300" s="94"/>
      <c r="X300" s="94"/>
      <c r="Y300" s="94"/>
    </row>
    <row r="301">
      <c r="A301" s="1"/>
      <c r="B301" s="44"/>
      <c r="D301" s="44"/>
      <c r="E301" s="94"/>
      <c r="F301" s="94"/>
      <c r="G301" s="94"/>
      <c r="H301" s="94"/>
      <c r="I301" s="94"/>
      <c r="J301" s="94"/>
      <c r="K301" s="94"/>
      <c r="L301" s="94"/>
      <c r="M301" s="94"/>
      <c r="N301" s="94"/>
      <c r="O301" s="94"/>
      <c r="P301" s="94"/>
      <c r="Q301" s="94"/>
      <c r="R301" s="94"/>
      <c r="S301" s="94"/>
      <c r="T301" s="94"/>
      <c r="U301" s="94"/>
      <c r="V301" s="94"/>
      <c r="W301" s="94"/>
      <c r="X301" s="94"/>
      <c r="Y301" s="94"/>
    </row>
    <row r="302">
      <c r="A302" s="1"/>
      <c r="B302" s="44"/>
      <c r="D302" s="44"/>
      <c r="E302" s="94"/>
      <c r="F302" s="94"/>
      <c r="G302" s="94"/>
      <c r="H302" s="94"/>
      <c r="I302" s="94"/>
      <c r="J302" s="94"/>
      <c r="K302" s="94"/>
      <c r="L302" s="94"/>
      <c r="M302" s="94"/>
      <c r="N302" s="94"/>
      <c r="O302" s="94"/>
      <c r="P302" s="94"/>
      <c r="Q302" s="94"/>
      <c r="R302" s="94"/>
      <c r="S302" s="94"/>
      <c r="T302" s="94"/>
      <c r="U302" s="94"/>
      <c r="V302" s="94"/>
      <c r="W302" s="94"/>
      <c r="X302" s="94"/>
      <c r="Y302" s="94"/>
    </row>
    <row r="303">
      <c r="A303" s="1"/>
      <c r="B303" s="44"/>
      <c r="D303" s="44"/>
      <c r="E303" s="94"/>
      <c r="F303" s="94"/>
      <c r="G303" s="94"/>
      <c r="H303" s="94"/>
      <c r="I303" s="94"/>
      <c r="J303" s="94"/>
      <c r="K303" s="94"/>
      <c r="L303" s="94"/>
      <c r="M303" s="94"/>
      <c r="N303" s="94"/>
      <c r="O303" s="94"/>
      <c r="P303" s="94"/>
      <c r="Q303" s="94"/>
      <c r="R303" s="94"/>
      <c r="S303" s="94"/>
      <c r="T303" s="94"/>
      <c r="U303" s="94"/>
      <c r="V303" s="94"/>
      <c r="W303" s="94"/>
      <c r="X303" s="94"/>
      <c r="Y303" s="94"/>
    </row>
    <row r="304">
      <c r="A304" s="1"/>
      <c r="B304" s="44"/>
      <c r="D304" s="44"/>
      <c r="E304" s="94"/>
      <c r="F304" s="94"/>
      <c r="G304" s="94"/>
      <c r="H304" s="94"/>
      <c r="I304" s="94"/>
      <c r="J304" s="94"/>
      <c r="K304" s="94"/>
      <c r="L304" s="94"/>
      <c r="M304" s="94"/>
      <c r="N304" s="94"/>
      <c r="O304" s="94"/>
      <c r="P304" s="94"/>
      <c r="Q304" s="94"/>
      <c r="R304" s="94"/>
      <c r="S304" s="94"/>
      <c r="T304" s="94"/>
      <c r="U304" s="94"/>
      <c r="V304" s="94"/>
      <c r="W304" s="94"/>
      <c r="X304" s="94"/>
      <c r="Y304" s="94"/>
    </row>
    <row r="305">
      <c r="A305" s="1"/>
      <c r="B305" s="44"/>
      <c r="D305" s="44"/>
      <c r="E305" s="94"/>
      <c r="F305" s="94"/>
      <c r="G305" s="94"/>
      <c r="H305" s="94"/>
      <c r="I305" s="94"/>
      <c r="J305" s="94"/>
      <c r="K305" s="94"/>
      <c r="L305" s="94"/>
      <c r="M305" s="94"/>
      <c r="N305" s="94"/>
      <c r="O305" s="94"/>
      <c r="P305" s="94"/>
      <c r="Q305" s="94"/>
      <c r="R305" s="94"/>
      <c r="S305" s="94"/>
      <c r="T305" s="94"/>
      <c r="U305" s="94"/>
      <c r="V305" s="94"/>
      <c r="W305" s="94"/>
      <c r="X305" s="94"/>
      <c r="Y305" s="94"/>
    </row>
    <row r="306">
      <c r="A306" s="1"/>
      <c r="B306" s="44"/>
      <c r="D306" s="44"/>
      <c r="E306" s="94"/>
      <c r="F306" s="94"/>
      <c r="G306" s="94"/>
      <c r="H306" s="94"/>
      <c r="I306" s="94"/>
      <c r="J306" s="94"/>
      <c r="K306" s="94"/>
      <c r="L306" s="94"/>
      <c r="M306" s="94"/>
      <c r="N306" s="94"/>
      <c r="O306" s="94"/>
      <c r="P306" s="94"/>
      <c r="Q306" s="94"/>
      <c r="R306" s="94"/>
      <c r="S306" s="94"/>
      <c r="T306" s="94"/>
      <c r="U306" s="94"/>
      <c r="V306" s="94"/>
      <c r="W306" s="94"/>
      <c r="X306" s="94"/>
      <c r="Y306" s="94"/>
    </row>
    <row r="307">
      <c r="A307" s="1"/>
      <c r="B307" s="44"/>
      <c r="D307" s="44"/>
      <c r="E307" s="94"/>
      <c r="F307" s="94"/>
      <c r="G307" s="94"/>
      <c r="H307" s="94"/>
      <c r="I307" s="94"/>
      <c r="J307" s="94"/>
      <c r="K307" s="94"/>
      <c r="L307" s="94"/>
      <c r="M307" s="94"/>
      <c r="N307" s="94"/>
      <c r="O307" s="94"/>
      <c r="P307" s="94"/>
      <c r="Q307" s="94"/>
      <c r="R307" s="94"/>
      <c r="S307" s="94"/>
      <c r="T307" s="94"/>
      <c r="U307" s="94"/>
      <c r="V307" s="94"/>
      <c r="W307" s="94"/>
      <c r="X307" s="94"/>
      <c r="Y307" s="94"/>
    </row>
    <row r="308">
      <c r="A308" s="1"/>
      <c r="B308" s="44"/>
      <c r="D308" s="44"/>
      <c r="E308" s="94"/>
      <c r="F308" s="94"/>
      <c r="G308" s="94"/>
      <c r="H308" s="94"/>
      <c r="I308" s="94"/>
      <c r="J308" s="94"/>
      <c r="K308" s="94"/>
      <c r="L308" s="94"/>
      <c r="M308" s="94"/>
      <c r="N308" s="94"/>
      <c r="O308" s="94"/>
      <c r="P308" s="94"/>
      <c r="Q308" s="94"/>
      <c r="R308" s="94"/>
      <c r="S308" s="94"/>
      <c r="T308" s="94"/>
      <c r="U308" s="94"/>
      <c r="V308" s="94"/>
      <c r="W308" s="94"/>
      <c r="X308" s="94"/>
      <c r="Y308" s="94"/>
    </row>
    <row r="309">
      <c r="A309" s="1"/>
      <c r="B309" s="44"/>
      <c r="D309" s="44"/>
      <c r="E309" s="94"/>
      <c r="F309" s="94"/>
      <c r="G309" s="94"/>
      <c r="H309" s="94"/>
      <c r="I309" s="94"/>
      <c r="J309" s="94"/>
      <c r="K309" s="94"/>
      <c r="L309" s="94"/>
      <c r="M309" s="94"/>
      <c r="N309" s="94"/>
      <c r="O309" s="94"/>
      <c r="P309" s="94"/>
      <c r="Q309" s="94"/>
      <c r="R309" s="94"/>
      <c r="S309" s="94"/>
      <c r="T309" s="94"/>
      <c r="U309" s="94"/>
      <c r="V309" s="94"/>
      <c r="W309" s="94"/>
      <c r="X309" s="94"/>
      <c r="Y309" s="94"/>
    </row>
    <row r="310">
      <c r="A310" s="1"/>
      <c r="B310" s="44"/>
      <c r="D310" s="44"/>
      <c r="E310" s="94"/>
      <c r="F310" s="94"/>
      <c r="G310" s="94"/>
      <c r="H310" s="94"/>
      <c r="I310" s="94"/>
      <c r="J310" s="94"/>
      <c r="K310" s="94"/>
      <c r="L310" s="94"/>
      <c r="M310" s="94"/>
      <c r="N310" s="94"/>
      <c r="O310" s="94"/>
      <c r="P310" s="94"/>
      <c r="Q310" s="94"/>
      <c r="R310" s="94"/>
      <c r="S310" s="94"/>
      <c r="T310" s="94"/>
      <c r="U310" s="94"/>
      <c r="V310" s="94"/>
      <c r="W310" s="94"/>
      <c r="X310" s="94"/>
      <c r="Y310" s="94"/>
    </row>
    <row r="311">
      <c r="A311" s="1"/>
      <c r="B311" s="44"/>
      <c r="D311" s="44"/>
      <c r="E311" s="94"/>
      <c r="F311" s="94"/>
      <c r="G311" s="94"/>
      <c r="H311" s="94"/>
      <c r="I311" s="94"/>
      <c r="J311" s="94"/>
      <c r="K311" s="94"/>
      <c r="L311" s="94"/>
      <c r="M311" s="94"/>
      <c r="N311" s="94"/>
      <c r="O311" s="94"/>
      <c r="P311" s="94"/>
      <c r="Q311" s="94"/>
      <c r="R311" s="94"/>
      <c r="S311" s="94"/>
      <c r="T311" s="94"/>
      <c r="U311" s="94"/>
      <c r="V311" s="94"/>
      <c r="W311" s="94"/>
      <c r="X311" s="94"/>
      <c r="Y311" s="94"/>
    </row>
    <row r="312">
      <c r="A312" s="1"/>
      <c r="B312" s="44"/>
      <c r="D312" s="44"/>
      <c r="E312" s="94"/>
      <c r="F312" s="94"/>
      <c r="G312" s="94"/>
      <c r="H312" s="94"/>
      <c r="I312" s="94"/>
      <c r="J312" s="94"/>
      <c r="K312" s="94"/>
      <c r="L312" s="94"/>
      <c r="M312" s="94"/>
      <c r="N312" s="94"/>
      <c r="O312" s="94"/>
      <c r="P312" s="94"/>
      <c r="Q312" s="94"/>
      <c r="R312" s="94"/>
      <c r="S312" s="94"/>
      <c r="T312" s="94"/>
      <c r="U312" s="94"/>
      <c r="V312" s="94"/>
      <c r="W312" s="94"/>
      <c r="X312" s="94"/>
      <c r="Y312" s="94"/>
    </row>
    <row r="313">
      <c r="A313" s="1"/>
      <c r="B313" s="44"/>
      <c r="D313" s="44"/>
      <c r="E313" s="94"/>
      <c r="F313" s="94"/>
      <c r="G313" s="94"/>
      <c r="H313" s="94"/>
      <c r="I313" s="94"/>
      <c r="J313" s="94"/>
      <c r="K313" s="94"/>
      <c r="L313" s="94"/>
      <c r="M313" s="94"/>
      <c r="N313" s="94"/>
      <c r="O313" s="94"/>
      <c r="P313" s="94"/>
      <c r="Q313" s="94"/>
      <c r="R313" s="94"/>
      <c r="S313" s="94"/>
      <c r="T313" s="94"/>
      <c r="U313" s="94"/>
      <c r="V313" s="94"/>
      <c r="W313" s="94"/>
      <c r="X313" s="94"/>
      <c r="Y313" s="94"/>
    </row>
    <row r="314">
      <c r="A314" s="1"/>
      <c r="B314" s="44"/>
      <c r="D314" s="44"/>
      <c r="E314" s="94"/>
      <c r="F314" s="94"/>
      <c r="G314" s="94"/>
      <c r="H314" s="94"/>
      <c r="I314" s="94"/>
      <c r="J314" s="94"/>
      <c r="K314" s="94"/>
      <c r="L314" s="94"/>
      <c r="M314" s="94"/>
      <c r="N314" s="94"/>
      <c r="O314" s="94"/>
      <c r="P314" s="94"/>
      <c r="Q314" s="94"/>
      <c r="R314" s="94"/>
      <c r="S314" s="94"/>
      <c r="T314" s="94"/>
      <c r="U314" s="94"/>
      <c r="V314" s="94"/>
      <c r="W314" s="94"/>
      <c r="X314" s="94"/>
      <c r="Y314" s="94"/>
    </row>
    <row r="315">
      <c r="A315" s="1"/>
      <c r="B315" s="44"/>
      <c r="D315" s="44"/>
      <c r="E315" s="94"/>
      <c r="F315" s="94"/>
      <c r="G315" s="94"/>
      <c r="H315" s="94"/>
      <c r="I315" s="94"/>
      <c r="J315" s="94"/>
      <c r="K315" s="94"/>
      <c r="L315" s="94"/>
      <c r="M315" s="94"/>
      <c r="N315" s="94"/>
      <c r="O315" s="94"/>
      <c r="P315" s="94"/>
      <c r="Q315" s="94"/>
      <c r="R315" s="94"/>
      <c r="S315" s="94"/>
      <c r="T315" s="94"/>
      <c r="U315" s="94"/>
      <c r="V315" s="94"/>
      <c r="W315" s="94"/>
      <c r="X315" s="94"/>
      <c r="Y315" s="94"/>
    </row>
    <row r="316">
      <c r="A316" s="1"/>
      <c r="B316" s="44"/>
      <c r="D316" s="44"/>
      <c r="E316" s="94"/>
      <c r="F316" s="94"/>
      <c r="G316" s="94"/>
      <c r="H316" s="94"/>
      <c r="I316" s="94"/>
      <c r="J316" s="94"/>
      <c r="K316" s="94"/>
      <c r="L316" s="94"/>
      <c r="M316" s="94"/>
      <c r="N316" s="94"/>
      <c r="O316" s="94"/>
      <c r="P316" s="94"/>
      <c r="Q316" s="94"/>
      <c r="R316" s="94"/>
      <c r="S316" s="94"/>
      <c r="T316" s="94"/>
      <c r="U316" s="94"/>
      <c r="V316" s="94"/>
      <c r="W316" s="94"/>
      <c r="X316" s="94"/>
      <c r="Y316" s="94"/>
    </row>
    <row r="317">
      <c r="A317" s="1"/>
      <c r="B317" s="44"/>
      <c r="D317" s="44"/>
      <c r="E317" s="94"/>
      <c r="F317" s="94"/>
      <c r="G317" s="94"/>
      <c r="H317" s="94"/>
      <c r="I317" s="94"/>
      <c r="J317" s="94"/>
      <c r="K317" s="94"/>
      <c r="L317" s="94"/>
      <c r="M317" s="94"/>
      <c r="N317" s="94"/>
      <c r="O317" s="94"/>
      <c r="P317" s="94"/>
      <c r="Q317" s="94"/>
      <c r="R317" s="94"/>
      <c r="S317" s="94"/>
      <c r="T317" s="94"/>
      <c r="U317" s="94"/>
      <c r="V317" s="94"/>
      <c r="W317" s="94"/>
      <c r="X317" s="94"/>
      <c r="Y317" s="94"/>
    </row>
    <row r="318">
      <c r="A318" s="1"/>
      <c r="B318" s="44"/>
      <c r="D318" s="44"/>
      <c r="E318" s="94"/>
      <c r="F318" s="94"/>
      <c r="G318" s="94"/>
      <c r="H318" s="94"/>
      <c r="I318" s="94"/>
      <c r="J318" s="94"/>
      <c r="K318" s="94"/>
      <c r="L318" s="94"/>
      <c r="M318" s="94"/>
      <c r="N318" s="94"/>
      <c r="O318" s="94"/>
      <c r="P318" s="94"/>
      <c r="Q318" s="94"/>
      <c r="R318" s="94"/>
      <c r="S318" s="94"/>
      <c r="T318" s="94"/>
      <c r="U318" s="94"/>
      <c r="V318" s="94"/>
      <c r="W318" s="94"/>
      <c r="X318" s="94"/>
      <c r="Y318" s="94"/>
    </row>
    <row r="319">
      <c r="A319" s="1"/>
      <c r="B319" s="44"/>
      <c r="D319" s="44"/>
      <c r="E319" s="94"/>
      <c r="F319" s="94"/>
      <c r="G319" s="94"/>
      <c r="H319" s="94"/>
      <c r="I319" s="94"/>
      <c r="J319" s="94"/>
      <c r="K319" s="94"/>
      <c r="L319" s="94"/>
      <c r="M319" s="94"/>
      <c r="N319" s="94"/>
      <c r="O319" s="94"/>
      <c r="P319" s="94"/>
      <c r="Q319" s="94"/>
      <c r="R319" s="94"/>
      <c r="S319" s="94"/>
      <c r="T319" s="94"/>
      <c r="U319" s="94"/>
      <c r="V319" s="94"/>
      <c r="W319" s="94"/>
      <c r="X319" s="94"/>
      <c r="Y319" s="94"/>
    </row>
    <row r="320">
      <c r="A320" s="1"/>
      <c r="B320" s="44"/>
      <c r="D320" s="44"/>
      <c r="E320" s="94"/>
      <c r="F320" s="94"/>
      <c r="G320" s="94"/>
      <c r="H320" s="94"/>
      <c r="I320" s="94"/>
      <c r="J320" s="94"/>
      <c r="K320" s="94"/>
      <c r="L320" s="94"/>
      <c r="M320" s="94"/>
      <c r="N320" s="94"/>
      <c r="O320" s="94"/>
      <c r="P320" s="94"/>
      <c r="Q320" s="94"/>
      <c r="R320" s="94"/>
      <c r="S320" s="94"/>
      <c r="T320" s="94"/>
      <c r="U320" s="94"/>
      <c r="V320" s="94"/>
      <c r="W320" s="94"/>
      <c r="X320" s="94"/>
      <c r="Y320" s="94"/>
    </row>
    <row r="321">
      <c r="A321" s="1"/>
      <c r="B321" s="44"/>
      <c r="D321" s="44"/>
      <c r="E321" s="94"/>
      <c r="F321" s="94"/>
      <c r="G321" s="94"/>
      <c r="H321" s="94"/>
      <c r="I321" s="94"/>
      <c r="J321" s="94"/>
      <c r="K321" s="94"/>
      <c r="L321" s="94"/>
      <c r="M321" s="94"/>
      <c r="N321" s="94"/>
      <c r="O321" s="94"/>
      <c r="P321" s="94"/>
      <c r="Q321" s="94"/>
      <c r="R321" s="94"/>
      <c r="S321" s="94"/>
      <c r="T321" s="94"/>
      <c r="U321" s="94"/>
      <c r="V321" s="94"/>
      <c r="W321" s="94"/>
      <c r="X321" s="94"/>
      <c r="Y321" s="94"/>
    </row>
    <row r="322">
      <c r="A322" s="1"/>
      <c r="B322" s="44"/>
      <c r="D322" s="44"/>
      <c r="E322" s="94"/>
      <c r="F322" s="94"/>
      <c r="G322" s="94"/>
      <c r="H322" s="94"/>
      <c r="I322" s="94"/>
      <c r="J322" s="94"/>
      <c r="K322" s="94"/>
      <c r="L322" s="94"/>
      <c r="M322" s="94"/>
      <c r="N322" s="94"/>
      <c r="O322" s="94"/>
      <c r="P322" s="94"/>
      <c r="Q322" s="94"/>
      <c r="R322" s="94"/>
      <c r="S322" s="94"/>
      <c r="T322" s="94"/>
      <c r="U322" s="94"/>
      <c r="V322" s="94"/>
      <c r="W322" s="94"/>
      <c r="X322" s="94"/>
      <c r="Y322" s="94"/>
    </row>
    <row r="323">
      <c r="A323" s="1"/>
      <c r="B323" s="44"/>
      <c r="D323" s="44"/>
      <c r="E323" s="94"/>
      <c r="F323" s="94"/>
      <c r="G323" s="94"/>
      <c r="H323" s="94"/>
      <c r="I323" s="94"/>
      <c r="J323" s="94"/>
      <c r="K323" s="94"/>
      <c r="L323" s="94"/>
      <c r="M323" s="94"/>
      <c r="N323" s="94"/>
      <c r="O323" s="94"/>
      <c r="P323" s="94"/>
      <c r="Q323" s="94"/>
      <c r="R323" s="94"/>
      <c r="S323" s="94"/>
      <c r="T323" s="94"/>
      <c r="U323" s="94"/>
      <c r="V323" s="94"/>
      <c r="W323" s="94"/>
      <c r="X323" s="94"/>
      <c r="Y323" s="94"/>
    </row>
    <row r="324">
      <c r="A324" s="1"/>
      <c r="B324" s="44"/>
      <c r="D324" s="44"/>
      <c r="E324" s="94"/>
      <c r="F324" s="94"/>
      <c r="G324" s="94"/>
      <c r="H324" s="94"/>
      <c r="I324" s="94"/>
      <c r="J324" s="94"/>
      <c r="K324" s="94"/>
      <c r="L324" s="94"/>
      <c r="M324" s="94"/>
      <c r="N324" s="94"/>
      <c r="O324" s="94"/>
      <c r="P324" s="94"/>
      <c r="Q324" s="94"/>
      <c r="R324" s="94"/>
      <c r="S324" s="94"/>
      <c r="T324" s="94"/>
      <c r="U324" s="94"/>
      <c r="V324" s="94"/>
      <c r="W324" s="94"/>
      <c r="X324" s="94"/>
      <c r="Y324" s="94"/>
    </row>
    <row r="325">
      <c r="A325" s="1"/>
      <c r="B325" s="44"/>
      <c r="D325" s="44"/>
      <c r="E325" s="94"/>
      <c r="F325" s="94"/>
      <c r="G325" s="94"/>
      <c r="H325" s="94"/>
      <c r="I325" s="94"/>
      <c r="J325" s="94"/>
      <c r="K325" s="94"/>
      <c r="L325" s="94"/>
      <c r="M325" s="94"/>
      <c r="N325" s="94"/>
      <c r="O325" s="94"/>
      <c r="P325" s="94"/>
      <c r="Q325" s="94"/>
      <c r="R325" s="94"/>
      <c r="S325" s="94"/>
      <c r="T325" s="94"/>
      <c r="U325" s="94"/>
      <c r="V325" s="94"/>
      <c r="W325" s="94"/>
      <c r="X325" s="94"/>
      <c r="Y325" s="94"/>
    </row>
    <row r="326">
      <c r="A326" s="1"/>
      <c r="B326" s="44"/>
      <c r="D326" s="44"/>
      <c r="E326" s="94"/>
      <c r="F326" s="94"/>
      <c r="G326" s="94"/>
      <c r="H326" s="94"/>
      <c r="I326" s="94"/>
      <c r="J326" s="94"/>
      <c r="K326" s="94"/>
      <c r="L326" s="94"/>
      <c r="M326" s="94"/>
      <c r="N326" s="94"/>
      <c r="O326" s="94"/>
      <c r="P326" s="94"/>
      <c r="Q326" s="94"/>
      <c r="R326" s="94"/>
      <c r="S326" s="94"/>
      <c r="T326" s="94"/>
      <c r="U326" s="94"/>
      <c r="V326" s="94"/>
      <c r="W326" s="94"/>
      <c r="X326" s="94"/>
      <c r="Y326" s="94"/>
    </row>
    <row r="327">
      <c r="A327" s="1"/>
      <c r="B327" s="44"/>
      <c r="D327" s="44"/>
      <c r="E327" s="94"/>
      <c r="F327" s="94"/>
      <c r="G327" s="94"/>
      <c r="H327" s="94"/>
      <c r="I327" s="94"/>
      <c r="J327" s="94"/>
      <c r="K327" s="94"/>
      <c r="L327" s="94"/>
      <c r="M327" s="94"/>
      <c r="N327" s="94"/>
      <c r="O327" s="94"/>
      <c r="P327" s="94"/>
      <c r="Q327" s="94"/>
      <c r="R327" s="94"/>
      <c r="S327" s="94"/>
      <c r="T327" s="94"/>
      <c r="U327" s="94"/>
      <c r="V327" s="94"/>
      <c r="W327" s="94"/>
      <c r="X327" s="94"/>
      <c r="Y327" s="94"/>
    </row>
    <row r="328">
      <c r="A328" s="1"/>
      <c r="B328" s="44"/>
      <c r="D328" s="44"/>
      <c r="E328" s="94"/>
      <c r="F328" s="94"/>
      <c r="G328" s="94"/>
      <c r="H328" s="94"/>
      <c r="I328" s="94"/>
      <c r="J328" s="94"/>
      <c r="K328" s="94"/>
      <c r="L328" s="94"/>
      <c r="M328" s="94"/>
      <c r="N328" s="94"/>
      <c r="O328" s="94"/>
      <c r="P328" s="94"/>
      <c r="Q328" s="94"/>
      <c r="R328" s="94"/>
      <c r="S328" s="94"/>
      <c r="T328" s="94"/>
      <c r="U328" s="94"/>
      <c r="V328" s="94"/>
      <c r="W328" s="94"/>
      <c r="X328" s="94"/>
      <c r="Y328" s="94"/>
    </row>
    <row r="329">
      <c r="A329" s="1"/>
      <c r="B329" s="44"/>
      <c r="D329" s="44"/>
      <c r="E329" s="94"/>
      <c r="F329" s="94"/>
      <c r="G329" s="94"/>
      <c r="H329" s="94"/>
      <c r="I329" s="94"/>
      <c r="J329" s="94"/>
      <c r="K329" s="94"/>
      <c r="L329" s="94"/>
      <c r="M329" s="94"/>
      <c r="N329" s="94"/>
      <c r="O329" s="94"/>
      <c r="P329" s="94"/>
      <c r="Q329" s="94"/>
      <c r="R329" s="94"/>
      <c r="S329" s="94"/>
      <c r="T329" s="94"/>
      <c r="U329" s="94"/>
      <c r="V329" s="94"/>
      <c r="W329" s="94"/>
      <c r="X329" s="94"/>
      <c r="Y329" s="94"/>
    </row>
    <row r="330">
      <c r="A330" s="1"/>
      <c r="B330" s="44"/>
      <c r="D330" s="44"/>
      <c r="E330" s="94"/>
      <c r="F330" s="94"/>
      <c r="G330" s="94"/>
      <c r="H330" s="94"/>
      <c r="I330" s="94"/>
      <c r="J330" s="94"/>
      <c r="K330" s="94"/>
      <c r="L330" s="94"/>
      <c r="M330" s="94"/>
      <c r="N330" s="94"/>
      <c r="O330" s="94"/>
      <c r="P330" s="94"/>
      <c r="Q330" s="94"/>
      <c r="R330" s="94"/>
      <c r="S330" s="94"/>
      <c r="T330" s="94"/>
      <c r="U330" s="94"/>
      <c r="V330" s="94"/>
      <c r="W330" s="94"/>
      <c r="X330" s="94"/>
      <c r="Y330" s="94"/>
    </row>
    <row r="331">
      <c r="A331" s="1"/>
      <c r="B331" s="44"/>
      <c r="D331" s="44"/>
      <c r="E331" s="94"/>
      <c r="F331" s="94"/>
      <c r="G331" s="94"/>
      <c r="H331" s="94"/>
      <c r="I331" s="94"/>
      <c r="J331" s="94"/>
      <c r="K331" s="94"/>
      <c r="L331" s="94"/>
      <c r="M331" s="94"/>
      <c r="N331" s="94"/>
      <c r="O331" s="94"/>
      <c r="P331" s="94"/>
      <c r="Q331" s="94"/>
      <c r="R331" s="94"/>
      <c r="S331" s="94"/>
      <c r="T331" s="94"/>
      <c r="U331" s="94"/>
      <c r="V331" s="94"/>
      <c r="W331" s="94"/>
      <c r="X331" s="94"/>
      <c r="Y331" s="94"/>
    </row>
    <row r="332">
      <c r="A332" s="1"/>
      <c r="B332" s="44"/>
      <c r="D332" s="44"/>
      <c r="E332" s="94"/>
      <c r="F332" s="94"/>
      <c r="G332" s="94"/>
      <c r="H332" s="94"/>
      <c r="I332" s="94"/>
      <c r="J332" s="94"/>
      <c r="K332" s="94"/>
      <c r="L332" s="94"/>
      <c r="M332" s="94"/>
      <c r="N332" s="94"/>
      <c r="O332" s="94"/>
      <c r="P332" s="94"/>
      <c r="Q332" s="94"/>
      <c r="R332" s="94"/>
      <c r="S332" s="94"/>
      <c r="T332" s="94"/>
      <c r="U332" s="94"/>
      <c r="V332" s="94"/>
      <c r="W332" s="94"/>
      <c r="X332" s="94"/>
      <c r="Y332" s="94"/>
    </row>
    <row r="333">
      <c r="A333" s="1"/>
      <c r="B333" s="44"/>
      <c r="D333" s="44"/>
      <c r="E333" s="94"/>
      <c r="F333" s="94"/>
      <c r="G333" s="94"/>
      <c r="H333" s="94"/>
      <c r="I333" s="94"/>
      <c r="J333" s="94"/>
      <c r="K333" s="94"/>
      <c r="L333" s="94"/>
      <c r="M333" s="94"/>
      <c r="N333" s="94"/>
      <c r="O333" s="94"/>
      <c r="P333" s="94"/>
      <c r="Q333" s="94"/>
      <c r="R333" s="94"/>
      <c r="S333" s="94"/>
      <c r="T333" s="94"/>
      <c r="U333" s="94"/>
      <c r="V333" s="94"/>
      <c r="W333" s="94"/>
      <c r="X333" s="94"/>
      <c r="Y333" s="94"/>
    </row>
    <row r="334">
      <c r="A334" s="1"/>
      <c r="B334" s="44"/>
      <c r="D334" s="44"/>
      <c r="E334" s="94"/>
      <c r="F334" s="94"/>
      <c r="G334" s="94"/>
      <c r="H334" s="94"/>
      <c r="I334" s="94"/>
      <c r="J334" s="94"/>
      <c r="K334" s="94"/>
      <c r="L334" s="94"/>
      <c r="M334" s="94"/>
      <c r="N334" s="94"/>
      <c r="O334" s="94"/>
      <c r="P334" s="94"/>
      <c r="Q334" s="94"/>
      <c r="R334" s="94"/>
      <c r="S334" s="94"/>
      <c r="T334" s="94"/>
      <c r="U334" s="94"/>
      <c r="V334" s="94"/>
      <c r="W334" s="94"/>
      <c r="X334" s="94"/>
      <c r="Y334" s="94"/>
    </row>
    <row r="335">
      <c r="A335" s="1"/>
      <c r="B335" s="44"/>
      <c r="D335" s="44"/>
      <c r="E335" s="94"/>
      <c r="F335" s="94"/>
      <c r="G335" s="94"/>
      <c r="H335" s="94"/>
      <c r="I335" s="94"/>
      <c r="J335" s="94"/>
      <c r="K335" s="94"/>
      <c r="L335" s="94"/>
      <c r="M335" s="94"/>
      <c r="N335" s="94"/>
      <c r="O335" s="94"/>
      <c r="P335" s="94"/>
      <c r="Q335" s="94"/>
      <c r="R335" s="94"/>
      <c r="S335" s="94"/>
      <c r="T335" s="94"/>
      <c r="U335" s="94"/>
      <c r="V335" s="94"/>
      <c r="W335" s="94"/>
      <c r="X335" s="94"/>
      <c r="Y335" s="94"/>
    </row>
    <row r="336">
      <c r="A336" s="1"/>
      <c r="B336" s="44"/>
      <c r="D336" s="44"/>
      <c r="E336" s="94"/>
      <c r="F336" s="94"/>
      <c r="G336" s="94"/>
      <c r="H336" s="94"/>
      <c r="I336" s="94"/>
      <c r="J336" s="94"/>
      <c r="K336" s="94"/>
      <c r="L336" s="94"/>
      <c r="M336" s="94"/>
      <c r="N336" s="94"/>
      <c r="O336" s="94"/>
      <c r="P336" s="94"/>
      <c r="Q336" s="94"/>
      <c r="R336" s="94"/>
      <c r="S336" s="94"/>
      <c r="T336" s="94"/>
      <c r="U336" s="94"/>
      <c r="V336" s="94"/>
      <c r="W336" s="94"/>
      <c r="X336" s="94"/>
      <c r="Y336" s="94"/>
    </row>
    <row r="337">
      <c r="A337" s="1"/>
      <c r="B337" s="44"/>
      <c r="D337" s="44"/>
      <c r="E337" s="94"/>
      <c r="F337" s="94"/>
      <c r="G337" s="94"/>
      <c r="H337" s="94"/>
      <c r="I337" s="94"/>
      <c r="J337" s="94"/>
      <c r="K337" s="94"/>
      <c r="L337" s="94"/>
      <c r="M337" s="94"/>
      <c r="N337" s="94"/>
      <c r="O337" s="94"/>
      <c r="P337" s="94"/>
      <c r="Q337" s="94"/>
      <c r="R337" s="94"/>
      <c r="S337" s="94"/>
      <c r="T337" s="94"/>
      <c r="U337" s="94"/>
      <c r="V337" s="94"/>
      <c r="W337" s="94"/>
      <c r="X337" s="94"/>
      <c r="Y337" s="94"/>
    </row>
    <row r="338">
      <c r="A338" s="1"/>
      <c r="B338" s="44"/>
      <c r="D338" s="44"/>
      <c r="E338" s="94"/>
      <c r="F338" s="94"/>
      <c r="G338" s="94"/>
      <c r="H338" s="94"/>
      <c r="I338" s="94"/>
      <c r="J338" s="94"/>
      <c r="K338" s="94"/>
      <c r="L338" s="94"/>
      <c r="M338" s="94"/>
      <c r="N338" s="94"/>
      <c r="O338" s="94"/>
      <c r="P338" s="94"/>
      <c r="Q338" s="94"/>
      <c r="R338" s="94"/>
      <c r="S338" s="94"/>
      <c r="T338" s="94"/>
      <c r="U338" s="94"/>
      <c r="V338" s="94"/>
      <c r="W338" s="94"/>
      <c r="X338" s="94"/>
      <c r="Y338" s="94"/>
    </row>
    <row r="339">
      <c r="A339" s="1"/>
      <c r="B339" s="44"/>
      <c r="D339" s="44"/>
      <c r="E339" s="94"/>
      <c r="F339" s="94"/>
      <c r="G339" s="94"/>
      <c r="H339" s="94"/>
      <c r="I339" s="94"/>
      <c r="J339" s="94"/>
      <c r="K339" s="94"/>
      <c r="L339" s="94"/>
      <c r="M339" s="94"/>
      <c r="N339" s="94"/>
      <c r="O339" s="94"/>
      <c r="P339" s="94"/>
      <c r="Q339" s="94"/>
      <c r="R339" s="94"/>
      <c r="S339" s="94"/>
      <c r="T339" s="94"/>
      <c r="U339" s="94"/>
      <c r="V339" s="94"/>
      <c r="W339" s="94"/>
      <c r="X339" s="94"/>
      <c r="Y339" s="94"/>
    </row>
    <row r="340">
      <c r="A340" s="1"/>
      <c r="B340" s="44"/>
      <c r="D340" s="44"/>
      <c r="E340" s="94"/>
      <c r="F340" s="94"/>
      <c r="G340" s="94"/>
      <c r="H340" s="94"/>
      <c r="I340" s="94"/>
      <c r="J340" s="94"/>
      <c r="K340" s="94"/>
      <c r="L340" s="94"/>
      <c r="M340" s="94"/>
      <c r="N340" s="94"/>
      <c r="O340" s="94"/>
      <c r="P340" s="94"/>
      <c r="Q340" s="94"/>
      <c r="R340" s="94"/>
      <c r="S340" s="94"/>
      <c r="T340" s="94"/>
      <c r="U340" s="94"/>
      <c r="V340" s="94"/>
      <c r="W340" s="94"/>
      <c r="X340" s="94"/>
      <c r="Y340" s="94"/>
    </row>
    <row r="341">
      <c r="A341" s="1"/>
      <c r="B341" s="44"/>
      <c r="D341" s="44"/>
      <c r="E341" s="94"/>
      <c r="F341" s="94"/>
      <c r="G341" s="94"/>
      <c r="H341" s="94"/>
      <c r="I341" s="94"/>
      <c r="J341" s="94"/>
      <c r="K341" s="94"/>
      <c r="L341" s="94"/>
      <c r="M341" s="94"/>
      <c r="N341" s="94"/>
      <c r="O341" s="94"/>
      <c r="P341" s="94"/>
      <c r="Q341" s="94"/>
      <c r="R341" s="94"/>
      <c r="S341" s="94"/>
      <c r="T341" s="94"/>
      <c r="U341" s="94"/>
      <c r="V341" s="94"/>
      <c r="W341" s="94"/>
      <c r="X341" s="94"/>
      <c r="Y341" s="94"/>
    </row>
    <row r="342">
      <c r="A342" s="1"/>
      <c r="B342" s="44"/>
      <c r="D342" s="44"/>
      <c r="E342" s="94"/>
      <c r="F342" s="94"/>
      <c r="G342" s="94"/>
      <c r="H342" s="94"/>
      <c r="I342" s="94"/>
      <c r="J342" s="94"/>
      <c r="K342" s="94"/>
      <c r="L342" s="94"/>
      <c r="M342" s="94"/>
      <c r="N342" s="94"/>
      <c r="O342" s="94"/>
      <c r="P342" s="94"/>
      <c r="Q342" s="94"/>
      <c r="R342" s="94"/>
      <c r="S342" s="94"/>
      <c r="T342" s="94"/>
      <c r="U342" s="94"/>
      <c r="V342" s="94"/>
      <c r="W342" s="94"/>
      <c r="X342" s="94"/>
      <c r="Y342" s="94"/>
    </row>
    <row r="343">
      <c r="A343" s="1"/>
      <c r="B343" s="44"/>
      <c r="D343" s="44"/>
      <c r="E343" s="94"/>
      <c r="F343" s="94"/>
      <c r="G343" s="94"/>
      <c r="H343" s="94"/>
      <c r="I343" s="94"/>
      <c r="J343" s="94"/>
      <c r="K343" s="94"/>
      <c r="L343" s="94"/>
      <c r="M343" s="94"/>
      <c r="N343" s="94"/>
      <c r="O343" s="94"/>
      <c r="P343" s="94"/>
      <c r="Q343" s="94"/>
      <c r="R343" s="94"/>
      <c r="S343" s="94"/>
      <c r="T343" s="94"/>
      <c r="U343" s="94"/>
      <c r="V343" s="94"/>
      <c r="W343" s="94"/>
      <c r="X343" s="94"/>
      <c r="Y343" s="94"/>
    </row>
    <row r="344">
      <c r="A344" s="1"/>
      <c r="B344" s="44"/>
      <c r="D344" s="44"/>
      <c r="E344" s="94"/>
      <c r="F344" s="94"/>
      <c r="G344" s="94"/>
      <c r="H344" s="94"/>
      <c r="I344" s="94"/>
      <c r="J344" s="94"/>
      <c r="K344" s="94"/>
      <c r="L344" s="94"/>
      <c r="M344" s="94"/>
      <c r="N344" s="94"/>
      <c r="O344" s="94"/>
      <c r="P344" s="94"/>
      <c r="Q344" s="94"/>
      <c r="R344" s="94"/>
      <c r="S344" s="94"/>
      <c r="T344" s="94"/>
      <c r="U344" s="94"/>
      <c r="V344" s="94"/>
      <c r="W344" s="94"/>
      <c r="X344" s="94"/>
      <c r="Y344" s="94"/>
    </row>
    <row r="345">
      <c r="A345" s="1"/>
      <c r="B345" s="44"/>
      <c r="D345" s="44"/>
      <c r="E345" s="94"/>
      <c r="F345" s="94"/>
      <c r="G345" s="94"/>
      <c r="H345" s="94"/>
      <c r="I345" s="94"/>
      <c r="J345" s="94"/>
      <c r="K345" s="94"/>
      <c r="L345" s="94"/>
      <c r="M345" s="94"/>
      <c r="N345" s="94"/>
      <c r="O345" s="94"/>
      <c r="P345" s="94"/>
      <c r="Q345" s="94"/>
      <c r="R345" s="94"/>
      <c r="S345" s="94"/>
      <c r="T345" s="94"/>
      <c r="U345" s="94"/>
      <c r="V345" s="94"/>
      <c r="W345" s="94"/>
      <c r="X345" s="94"/>
      <c r="Y345" s="94"/>
    </row>
    <row r="346">
      <c r="A346" s="1"/>
      <c r="B346" s="44"/>
      <c r="D346" s="44"/>
      <c r="E346" s="94"/>
      <c r="F346" s="94"/>
      <c r="G346" s="94"/>
      <c r="H346" s="94"/>
      <c r="I346" s="94"/>
      <c r="J346" s="94"/>
      <c r="K346" s="94"/>
      <c r="L346" s="94"/>
      <c r="M346" s="94"/>
      <c r="N346" s="94"/>
      <c r="O346" s="94"/>
      <c r="P346" s="94"/>
      <c r="Q346" s="94"/>
      <c r="R346" s="94"/>
      <c r="S346" s="94"/>
      <c r="T346" s="94"/>
      <c r="U346" s="94"/>
      <c r="V346" s="94"/>
      <c r="W346" s="94"/>
      <c r="X346" s="94"/>
      <c r="Y346" s="94"/>
    </row>
    <row r="347">
      <c r="A347" s="1"/>
      <c r="B347" s="44"/>
      <c r="D347" s="44"/>
      <c r="E347" s="94"/>
      <c r="F347" s="94"/>
      <c r="G347" s="94"/>
      <c r="H347" s="94"/>
      <c r="I347" s="94"/>
      <c r="J347" s="94"/>
      <c r="K347" s="94"/>
      <c r="L347" s="94"/>
      <c r="M347" s="94"/>
      <c r="N347" s="94"/>
      <c r="O347" s="94"/>
      <c r="P347" s="94"/>
      <c r="Q347" s="94"/>
      <c r="R347" s="94"/>
      <c r="S347" s="94"/>
      <c r="T347" s="94"/>
      <c r="U347" s="94"/>
      <c r="V347" s="94"/>
      <c r="W347" s="94"/>
      <c r="X347" s="94"/>
      <c r="Y347" s="94"/>
    </row>
    <row r="348">
      <c r="A348" s="1"/>
      <c r="B348" s="44"/>
      <c r="D348" s="44"/>
      <c r="E348" s="94"/>
      <c r="F348" s="94"/>
      <c r="G348" s="94"/>
      <c r="H348" s="94"/>
      <c r="I348" s="94"/>
      <c r="J348" s="94"/>
      <c r="K348" s="94"/>
      <c r="L348" s="94"/>
      <c r="M348" s="94"/>
      <c r="N348" s="94"/>
      <c r="O348" s="94"/>
      <c r="P348" s="94"/>
      <c r="Q348" s="94"/>
      <c r="R348" s="94"/>
      <c r="S348" s="94"/>
      <c r="T348" s="94"/>
      <c r="U348" s="94"/>
      <c r="V348" s="94"/>
      <c r="W348" s="94"/>
      <c r="X348" s="94"/>
      <c r="Y348" s="94"/>
    </row>
    <row r="349">
      <c r="A349" s="1"/>
      <c r="B349" s="44"/>
      <c r="D349" s="44"/>
      <c r="E349" s="94"/>
      <c r="F349" s="94"/>
      <c r="G349" s="94"/>
      <c r="H349" s="94"/>
      <c r="I349" s="94"/>
      <c r="J349" s="94"/>
      <c r="K349" s="94"/>
      <c r="L349" s="94"/>
      <c r="M349" s="94"/>
      <c r="N349" s="94"/>
      <c r="O349" s="94"/>
      <c r="P349" s="94"/>
      <c r="Q349" s="94"/>
      <c r="R349" s="94"/>
      <c r="S349" s="94"/>
      <c r="T349" s="94"/>
      <c r="U349" s="94"/>
      <c r="V349" s="94"/>
      <c r="W349" s="94"/>
      <c r="X349" s="94"/>
      <c r="Y349" s="94"/>
    </row>
    <row r="350">
      <c r="A350" s="1"/>
      <c r="B350" s="44"/>
      <c r="D350" s="44"/>
      <c r="E350" s="94"/>
      <c r="F350" s="94"/>
      <c r="G350" s="94"/>
      <c r="H350" s="94"/>
      <c r="I350" s="94"/>
      <c r="J350" s="94"/>
      <c r="K350" s="94"/>
      <c r="L350" s="94"/>
      <c r="M350" s="94"/>
      <c r="N350" s="94"/>
      <c r="O350" s="94"/>
      <c r="P350" s="94"/>
      <c r="Q350" s="94"/>
      <c r="R350" s="94"/>
      <c r="S350" s="94"/>
      <c r="T350" s="94"/>
      <c r="U350" s="94"/>
      <c r="V350" s="94"/>
      <c r="W350" s="94"/>
      <c r="X350" s="94"/>
      <c r="Y350" s="94"/>
    </row>
    <row r="351">
      <c r="A351" s="1"/>
      <c r="B351" s="44"/>
      <c r="D351" s="44"/>
      <c r="E351" s="94"/>
      <c r="F351" s="94"/>
      <c r="G351" s="94"/>
      <c r="H351" s="94"/>
      <c r="I351" s="94"/>
      <c r="J351" s="94"/>
      <c r="K351" s="94"/>
      <c r="L351" s="94"/>
      <c r="M351" s="94"/>
      <c r="N351" s="94"/>
      <c r="O351" s="94"/>
      <c r="P351" s="94"/>
      <c r="Q351" s="94"/>
      <c r="R351" s="94"/>
      <c r="S351" s="94"/>
      <c r="T351" s="94"/>
      <c r="U351" s="94"/>
      <c r="V351" s="94"/>
      <c r="W351" s="94"/>
      <c r="X351" s="94"/>
      <c r="Y351" s="94"/>
    </row>
    <row r="352">
      <c r="A352" s="1"/>
      <c r="B352" s="44"/>
      <c r="D352" s="44"/>
      <c r="E352" s="94"/>
      <c r="F352" s="94"/>
      <c r="G352" s="94"/>
      <c r="H352" s="94"/>
      <c r="I352" s="94"/>
      <c r="J352" s="94"/>
      <c r="K352" s="94"/>
      <c r="L352" s="94"/>
      <c r="M352" s="94"/>
      <c r="N352" s="94"/>
      <c r="O352" s="94"/>
      <c r="P352" s="94"/>
      <c r="Q352" s="94"/>
      <c r="R352" s="94"/>
      <c r="S352" s="94"/>
      <c r="T352" s="94"/>
      <c r="U352" s="94"/>
      <c r="V352" s="94"/>
      <c r="W352" s="94"/>
      <c r="X352" s="94"/>
      <c r="Y352" s="94"/>
    </row>
    <row r="353">
      <c r="A353" s="1"/>
      <c r="B353" s="44"/>
      <c r="D353" s="44"/>
      <c r="E353" s="94"/>
      <c r="F353" s="94"/>
      <c r="G353" s="94"/>
      <c r="H353" s="94"/>
      <c r="I353" s="94"/>
      <c r="J353" s="94"/>
      <c r="K353" s="94"/>
      <c r="L353" s="94"/>
      <c r="M353" s="94"/>
      <c r="N353" s="94"/>
      <c r="O353" s="94"/>
      <c r="P353" s="94"/>
      <c r="Q353" s="94"/>
      <c r="R353" s="94"/>
      <c r="S353" s="94"/>
      <c r="T353" s="94"/>
      <c r="U353" s="94"/>
      <c r="V353" s="94"/>
      <c r="W353" s="94"/>
      <c r="X353" s="94"/>
      <c r="Y353" s="94"/>
    </row>
    <row r="354">
      <c r="A354" s="1"/>
      <c r="B354" s="44"/>
      <c r="D354" s="44"/>
      <c r="E354" s="94"/>
      <c r="F354" s="94"/>
      <c r="G354" s="94"/>
      <c r="H354" s="94"/>
      <c r="I354" s="94"/>
      <c r="J354" s="94"/>
      <c r="K354" s="94"/>
      <c r="L354" s="94"/>
      <c r="M354" s="94"/>
      <c r="N354" s="94"/>
      <c r="O354" s="94"/>
      <c r="P354" s="94"/>
      <c r="Q354" s="94"/>
      <c r="R354" s="94"/>
      <c r="S354" s="94"/>
      <c r="T354" s="94"/>
      <c r="U354" s="94"/>
      <c r="V354" s="94"/>
      <c r="W354" s="94"/>
      <c r="X354" s="94"/>
      <c r="Y354" s="94"/>
    </row>
    <row r="355">
      <c r="A355" s="1"/>
      <c r="B355" s="44"/>
      <c r="D355" s="44"/>
      <c r="E355" s="94"/>
      <c r="F355" s="94"/>
      <c r="G355" s="94"/>
      <c r="H355" s="94"/>
      <c r="I355" s="94"/>
      <c r="J355" s="94"/>
      <c r="K355" s="94"/>
      <c r="L355" s="94"/>
      <c r="M355" s="94"/>
      <c r="N355" s="94"/>
      <c r="O355" s="94"/>
      <c r="P355" s="94"/>
      <c r="Q355" s="94"/>
      <c r="R355" s="94"/>
      <c r="S355" s="94"/>
      <c r="T355" s="94"/>
      <c r="U355" s="94"/>
      <c r="V355" s="94"/>
      <c r="W355" s="94"/>
      <c r="X355" s="94"/>
      <c r="Y355" s="94"/>
    </row>
    <row r="356">
      <c r="A356" s="1"/>
      <c r="B356" s="44"/>
      <c r="D356" s="44"/>
      <c r="E356" s="94"/>
      <c r="F356" s="94"/>
      <c r="G356" s="94"/>
      <c r="H356" s="94"/>
      <c r="I356" s="94"/>
      <c r="J356" s="94"/>
      <c r="K356" s="94"/>
      <c r="L356" s="94"/>
      <c r="M356" s="94"/>
      <c r="N356" s="94"/>
      <c r="O356" s="94"/>
      <c r="P356" s="94"/>
      <c r="Q356" s="94"/>
      <c r="R356" s="94"/>
      <c r="S356" s="94"/>
      <c r="T356" s="94"/>
      <c r="U356" s="94"/>
      <c r="V356" s="94"/>
      <c r="W356" s="94"/>
      <c r="X356" s="94"/>
      <c r="Y356" s="94"/>
    </row>
    <row r="357">
      <c r="A357" s="1"/>
      <c r="B357" s="44"/>
      <c r="D357" s="44"/>
      <c r="E357" s="94"/>
      <c r="F357" s="94"/>
      <c r="G357" s="94"/>
      <c r="H357" s="94"/>
      <c r="I357" s="94"/>
      <c r="J357" s="94"/>
      <c r="K357" s="94"/>
      <c r="L357" s="94"/>
      <c r="M357" s="94"/>
      <c r="N357" s="94"/>
      <c r="O357" s="94"/>
      <c r="P357" s="94"/>
      <c r="Q357" s="94"/>
      <c r="R357" s="94"/>
      <c r="S357" s="94"/>
      <c r="T357" s="94"/>
      <c r="U357" s="94"/>
      <c r="V357" s="94"/>
      <c r="W357" s="94"/>
      <c r="X357" s="94"/>
      <c r="Y357" s="94"/>
    </row>
    <row r="358">
      <c r="A358" s="1"/>
      <c r="B358" s="44"/>
      <c r="D358" s="44"/>
      <c r="E358" s="94"/>
      <c r="F358" s="94"/>
      <c r="G358" s="94"/>
      <c r="H358" s="94"/>
      <c r="I358" s="94"/>
      <c r="J358" s="94"/>
      <c r="K358" s="94"/>
      <c r="L358" s="94"/>
      <c r="M358" s="94"/>
      <c r="N358" s="94"/>
      <c r="O358" s="94"/>
      <c r="P358" s="94"/>
      <c r="Q358" s="94"/>
      <c r="R358" s="94"/>
      <c r="S358" s="94"/>
      <c r="T358" s="94"/>
      <c r="U358" s="94"/>
      <c r="V358" s="94"/>
      <c r="W358" s="94"/>
      <c r="X358" s="94"/>
      <c r="Y358" s="94"/>
    </row>
    <row r="359">
      <c r="A359" s="1"/>
      <c r="B359" s="44"/>
      <c r="D359" s="44"/>
      <c r="E359" s="94"/>
      <c r="F359" s="94"/>
      <c r="G359" s="94"/>
      <c r="H359" s="94"/>
      <c r="I359" s="94"/>
      <c r="J359" s="94"/>
      <c r="K359" s="94"/>
      <c r="L359" s="94"/>
      <c r="M359" s="94"/>
      <c r="N359" s="94"/>
      <c r="O359" s="94"/>
      <c r="P359" s="94"/>
      <c r="Q359" s="94"/>
      <c r="R359" s="94"/>
      <c r="S359" s="94"/>
      <c r="T359" s="94"/>
      <c r="U359" s="94"/>
      <c r="V359" s="94"/>
      <c r="W359" s="94"/>
      <c r="X359" s="94"/>
      <c r="Y359" s="94"/>
    </row>
    <row r="360">
      <c r="A360" s="1"/>
      <c r="B360" s="44"/>
      <c r="D360" s="44"/>
      <c r="E360" s="94"/>
      <c r="F360" s="94"/>
      <c r="G360" s="94"/>
      <c r="H360" s="94"/>
      <c r="I360" s="94"/>
      <c r="J360" s="94"/>
      <c r="K360" s="94"/>
      <c r="L360" s="94"/>
      <c r="M360" s="94"/>
      <c r="N360" s="94"/>
      <c r="O360" s="94"/>
      <c r="P360" s="94"/>
      <c r="Q360" s="94"/>
      <c r="R360" s="94"/>
      <c r="S360" s="94"/>
      <c r="T360" s="94"/>
      <c r="U360" s="94"/>
      <c r="V360" s="94"/>
      <c r="W360" s="94"/>
      <c r="X360" s="94"/>
      <c r="Y360" s="94"/>
    </row>
    <row r="361">
      <c r="A361" s="1"/>
      <c r="B361" s="44"/>
      <c r="D361" s="44"/>
      <c r="E361" s="94"/>
      <c r="F361" s="94"/>
      <c r="G361" s="94"/>
      <c r="H361" s="94"/>
      <c r="I361" s="94"/>
      <c r="J361" s="94"/>
      <c r="K361" s="94"/>
      <c r="L361" s="94"/>
      <c r="M361" s="94"/>
      <c r="N361" s="94"/>
      <c r="O361" s="94"/>
      <c r="P361" s="94"/>
      <c r="Q361" s="94"/>
      <c r="R361" s="94"/>
      <c r="S361" s="94"/>
      <c r="T361" s="94"/>
      <c r="U361" s="94"/>
      <c r="V361" s="94"/>
      <c r="W361" s="94"/>
      <c r="X361" s="94"/>
      <c r="Y361" s="94"/>
    </row>
    <row r="362">
      <c r="A362" s="1"/>
      <c r="B362" s="44"/>
      <c r="D362" s="44"/>
      <c r="E362" s="94"/>
      <c r="F362" s="94"/>
      <c r="G362" s="94"/>
      <c r="H362" s="94"/>
      <c r="I362" s="94"/>
      <c r="J362" s="94"/>
      <c r="K362" s="94"/>
      <c r="L362" s="94"/>
      <c r="M362" s="94"/>
      <c r="N362" s="94"/>
      <c r="O362" s="94"/>
      <c r="P362" s="94"/>
      <c r="Q362" s="94"/>
      <c r="R362" s="94"/>
      <c r="S362" s="94"/>
      <c r="T362" s="94"/>
      <c r="U362" s="94"/>
      <c r="V362" s="94"/>
      <c r="W362" s="94"/>
      <c r="X362" s="94"/>
      <c r="Y362" s="94"/>
    </row>
    <row r="363">
      <c r="A363" s="1"/>
      <c r="B363" s="44"/>
      <c r="D363" s="44"/>
      <c r="E363" s="94"/>
      <c r="F363" s="94"/>
      <c r="G363" s="94"/>
      <c r="H363" s="94"/>
      <c r="I363" s="94"/>
      <c r="J363" s="94"/>
      <c r="K363" s="94"/>
      <c r="L363" s="94"/>
      <c r="M363" s="94"/>
      <c r="N363" s="94"/>
      <c r="O363" s="94"/>
      <c r="P363" s="94"/>
      <c r="Q363" s="94"/>
      <c r="R363" s="94"/>
      <c r="S363" s="94"/>
      <c r="T363" s="94"/>
      <c r="U363" s="94"/>
      <c r="V363" s="94"/>
      <c r="W363" s="94"/>
      <c r="X363" s="94"/>
      <c r="Y363" s="94"/>
    </row>
    <row r="364">
      <c r="A364" s="1"/>
      <c r="B364" s="44"/>
      <c r="D364" s="44"/>
      <c r="E364" s="94"/>
      <c r="F364" s="94"/>
      <c r="G364" s="94"/>
      <c r="H364" s="94"/>
      <c r="I364" s="94"/>
      <c r="J364" s="94"/>
      <c r="K364" s="94"/>
      <c r="L364" s="94"/>
      <c r="M364" s="94"/>
      <c r="N364" s="94"/>
      <c r="O364" s="94"/>
      <c r="P364" s="94"/>
      <c r="Q364" s="94"/>
      <c r="R364" s="94"/>
      <c r="S364" s="94"/>
      <c r="T364" s="94"/>
      <c r="U364" s="94"/>
      <c r="V364" s="94"/>
      <c r="W364" s="94"/>
      <c r="X364" s="94"/>
      <c r="Y364" s="94"/>
    </row>
    <row r="365">
      <c r="A365" s="1"/>
      <c r="B365" s="44"/>
      <c r="D365" s="44"/>
      <c r="E365" s="94"/>
      <c r="F365" s="94"/>
      <c r="G365" s="94"/>
      <c r="H365" s="94"/>
      <c r="I365" s="94"/>
      <c r="J365" s="94"/>
      <c r="K365" s="94"/>
      <c r="L365" s="94"/>
      <c r="M365" s="94"/>
      <c r="N365" s="94"/>
      <c r="O365" s="94"/>
      <c r="P365" s="94"/>
      <c r="Q365" s="94"/>
      <c r="R365" s="94"/>
      <c r="S365" s="94"/>
      <c r="T365" s="94"/>
      <c r="U365" s="94"/>
      <c r="V365" s="94"/>
      <c r="W365" s="94"/>
      <c r="X365" s="94"/>
      <c r="Y365" s="94"/>
    </row>
    <row r="366">
      <c r="A366" s="1"/>
      <c r="B366" s="44"/>
      <c r="D366" s="44"/>
      <c r="E366" s="94"/>
      <c r="F366" s="94"/>
      <c r="G366" s="94"/>
      <c r="H366" s="94"/>
      <c r="I366" s="94"/>
      <c r="J366" s="94"/>
      <c r="K366" s="94"/>
      <c r="L366" s="94"/>
      <c r="M366" s="94"/>
      <c r="N366" s="94"/>
      <c r="O366" s="94"/>
      <c r="P366" s="94"/>
      <c r="Q366" s="94"/>
      <c r="R366" s="94"/>
      <c r="S366" s="94"/>
      <c r="T366" s="94"/>
      <c r="U366" s="94"/>
      <c r="V366" s="94"/>
      <c r="W366" s="94"/>
      <c r="X366" s="94"/>
      <c r="Y366" s="94"/>
    </row>
    <row r="367">
      <c r="A367" s="1"/>
      <c r="B367" s="44"/>
      <c r="D367" s="44"/>
      <c r="E367" s="94"/>
      <c r="F367" s="94"/>
      <c r="G367" s="94"/>
      <c r="H367" s="94"/>
      <c r="I367" s="94"/>
      <c r="J367" s="94"/>
      <c r="K367" s="94"/>
      <c r="L367" s="94"/>
      <c r="M367" s="94"/>
      <c r="N367" s="94"/>
      <c r="O367" s="94"/>
      <c r="P367" s="94"/>
      <c r="Q367" s="94"/>
      <c r="R367" s="94"/>
      <c r="S367" s="94"/>
      <c r="T367" s="94"/>
      <c r="U367" s="94"/>
      <c r="V367" s="94"/>
      <c r="W367" s="94"/>
      <c r="X367" s="94"/>
      <c r="Y367" s="94"/>
    </row>
    <row r="368">
      <c r="A368" s="1"/>
      <c r="B368" s="44"/>
      <c r="D368" s="44"/>
      <c r="E368" s="94"/>
      <c r="F368" s="94"/>
      <c r="G368" s="94"/>
      <c r="H368" s="94"/>
      <c r="I368" s="94"/>
      <c r="J368" s="94"/>
      <c r="K368" s="94"/>
      <c r="L368" s="94"/>
      <c r="M368" s="94"/>
      <c r="N368" s="94"/>
      <c r="O368" s="94"/>
      <c r="P368" s="94"/>
      <c r="Q368" s="94"/>
      <c r="R368" s="94"/>
      <c r="S368" s="94"/>
      <c r="T368" s="94"/>
      <c r="U368" s="94"/>
      <c r="V368" s="94"/>
      <c r="W368" s="94"/>
      <c r="X368" s="94"/>
      <c r="Y368" s="94"/>
    </row>
    <row r="369">
      <c r="A369" s="1"/>
      <c r="B369" s="44"/>
      <c r="D369" s="44"/>
      <c r="E369" s="94"/>
      <c r="F369" s="94"/>
      <c r="G369" s="94"/>
      <c r="H369" s="94"/>
      <c r="I369" s="94"/>
      <c r="J369" s="94"/>
      <c r="K369" s="94"/>
      <c r="L369" s="94"/>
      <c r="M369" s="94"/>
      <c r="N369" s="94"/>
      <c r="O369" s="94"/>
      <c r="P369" s="94"/>
      <c r="Q369" s="94"/>
      <c r="R369" s="94"/>
      <c r="S369" s="94"/>
      <c r="T369" s="94"/>
      <c r="U369" s="94"/>
      <c r="V369" s="94"/>
      <c r="W369" s="94"/>
      <c r="X369" s="94"/>
      <c r="Y369" s="94"/>
    </row>
    <row r="370">
      <c r="A370" s="1"/>
      <c r="B370" s="44"/>
      <c r="D370" s="44"/>
      <c r="E370" s="94"/>
      <c r="F370" s="94"/>
      <c r="G370" s="94"/>
      <c r="H370" s="94"/>
      <c r="I370" s="94"/>
      <c r="J370" s="94"/>
      <c r="K370" s="94"/>
      <c r="L370" s="94"/>
      <c r="M370" s="94"/>
      <c r="N370" s="94"/>
      <c r="O370" s="94"/>
      <c r="P370" s="94"/>
      <c r="Q370" s="94"/>
      <c r="R370" s="94"/>
      <c r="S370" s="94"/>
      <c r="T370" s="94"/>
      <c r="U370" s="94"/>
      <c r="V370" s="94"/>
      <c r="W370" s="94"/>
      <c r="X370" s="94"/>
      <c r="Y370" s="94"/>
    </row>
    <row r="371">
      <c r="A371" s="1"/>
      <c r="B371" s="44"/>
      <c r="D371" s="44"/>
      <c r="E371" s="94"/>
      <c r="F371" s="94"/>
      <c r="G371" s="94"/>
      <c r="H371" s="94"/>
      <c r="I371" s="94"/>
      <c r="J371" s="94"/>
      <c r="K371" s="94"/>
      <c r="L371" s="94"/>
      <c r="M371" s="94"/>
      <c r="N371" s="94"/>
      <c r="O371" s="94"/>
      <c r="P371" s="94"/>
      <c r="Q371" s="94"/>
      <c r="R371" s="94"/>
      <c r="S371" s="94"/>
      <c r="T371" s="94"/>
      <c r="U371" s="94"/>
      <c r="V371" s="94"/>
      <c r="W371" s="94"/>
      <c r="X371" s="94"/>
      <c r="Y371" s="94"/>
    </row>
    <row r="372">
      <c r="A372" s="1"/>
      <c r="B372" s="44"/>
      <c r="D372" s="44"/>
      <c r="E372" s="94"/>
      <c r="F372" s="94"/>
      <c r="G372" s="94"/>
      <c r="H372" s="94"/>
      <c r="I372" s="94"/>
      <c r="J372" s="94"/>
      <c r="K372" s="94"/>
      <c r="L372" s="94"/>
      <c r="M372" s="94"/>
      <c r="N372" s="94"/>
      <c r="O372" s="94"/>
      <c r="P372" s="94"/>
      <c r="Q372" s="94"/>
      <c r="R372" s="94"/>
      <c r="S372" s="94"/>
      <c r="T372" s="94"/>
      <c r="U372" s="94"/>
      <c r="V372" s="94"/>
      <c r="W372" s="94"/>
      <c r="X372" s="94"/>
      <c r="Y372" s="94"/>
    </row>
    <row r="373">
      <c r="A373" s="1"/>
      <c r="B373" s="44"/>
      <c r="D373" s="44"/>
      <c r="E373" s="94"/>
      <c r="F373" s="94"/>
      <c r="G373" s="94"/>
      <c r="H373" s="94"/>
      <c r="I373" s="94"/>
      <c r="J373" s="94"/>
      <c r="K373" s="94"/>
      <c r="L373" s="94"/>
      <c r="M373" s="94"/>
      <c r="N373" s="94"/>
      <c r="O373" s="94"/>
      <c r="P373" s="94"/>
      <c r="Q373" s="94"/>
      <c r="R373" s="94"/>
      <c r="S373" s="94"/>
      <c r="T373" s="94"/>
      <c r="U373" s="94"/>
      <c r="V373" s="94"/>
      <c r="W373" s="94"/>
      <c r="X373" s="94"/>
      <c r="Y373" s="94"/>
    </row>
    <row r="374">
      <c r="A374" s="1"/>
      <c r="B374" s="44"/>
      <c r="D374" s="44"/>
      <c r="E374" s="94"/>
      <c r="F374" s="94"/>
      <c r="G374" s="94"/>
      <c r="H374" s="94"/>
      <c r="I374" s="94"/>
      <c r="J374" s="94"/>
      <c r="K374" s="94"/>
      <c r="L374" s="94"/>
      <c r="M374" s="94"/>
      <c r="N374" s="94"/>
      <c r="O374" s="94"/>
      <c r="P374" s="94"/>
      <c r="Q374" s="94"/>
      <c r="R374" s="94"/>
      <c r="S374" s="94"/>
      <c r="T374" s="94"/>
      <c r="U374" s="94"/>
      <c r="V374" s="94"/>
      <c r="W374" s="94"/>
      <c r="X374" s="94"/>
      <c r="Y374" s="94"/>
    </row>
    <row r="375">
      <c r="A375" s="1"/>
      <c r="B375" s="44"/>
      <c r="D375" s="44"/>
      <c r="E375" s="94"/>
      <c r="F375" s="94"/>
      <c r="G375" s="94"/>
      <c r="H375" s="94"/>
      <c r="I375" s="94"/>
      <c r="J375" s="94"/>
      <c r="K375" s="94"/>
      <c r="L375" s="94"/>
      <c r="M375" s="94"/>
      <c r="N375" s="94"/>
      <c r="O375" s="94"/>
      <c r="P375" s="94"/>
      <c r="Q375" s="94"/>
      <c r="R375" s="94"/>
      <c r="S375" s="94"/>
      <c r="T375" s="94"/>
      <c r="U375" s="94"/>
      <c r="V375" s="94"/>
      <c r="W375" s="94"/>
      <c r="X375" s="94"/>
      <c r="Y375" s="94"/>
    </row>
    <row r="376">
      <c r="A376" s="1"/>
      <c r="B376" s="44"/>
      <c r="D376" s="44"/>
      <c r="E376" s="94"/>
      <c r="F376" s="94"/>
      <c r="G376" s="94"/>
      <c r="H376" s="94"/>
      <c r="I376" s="94"/>
      <c r="J376" s="94"/>
      <c r="K376" s="94"/>
      <c r="L376" s="94"/>
      <c r="M376" s="94"/>
      <c r="N376" s="94"/>
      <c r="O376" s="94"/>
      <c r="P376" s="94"/>
      <c r="Q376" s="94"/>
      <c r="R376" s="94"/>
      <c r="S376" s="94"/>
      <c r="T376" s="94"/>
      <c r="U376" s="94"/>
      <c r="V376" s="94"/>
      <c r="W376" s="94"/>
      <c r="X376" s="94"/>
      <c r="Y376" s="94"/>
    </row>
    <row r="377">
      <c r="A377" s="1"/>
      <c r="B377" s="44"/>
      <c r="D377" s="44"/>
      <c r="E377" s="94"/>
      <c r="F377" s="94"/>
      <c r="G377" s="94"/>
      <c r="H377" s="94"/>
      <c r="I377" s="94"/>
      <c r="J377" s="94"/>
      <c r="K377" s="94"/>
      <c r="L377" s="94"/>
      <c r="M377" s="94"/>
      <c r="N377" s="94"/>
      <c r="O377" s="94"/>
      <c r="P377" s="94"/>
      <c r="Q377" s="94"/>
      <c r="R377" s="94"/>
      <c r="S377" s="94"/>
      <c r="T377" s="94"/>
      <c r="U377" s="94"/>
      <c r="V377" s="94"/>
      <c r="W377" s="94"/>
      <c r="X377" s="94"/>
      <c r="Y377" s="94"/>
    </row>
    <row r="378">
      <c r="A378" s="1"/>
      <c r="B378" s="44"/>
      <c r="D378" s="44"/>
      <c r="E378" s="94"/>
      <c r="F378" s="94"/>
      <c r="G378" s="94"/>
      <c r="H378" s="94"/>
      <c r="I378" s="94"/>
      <c r="J378" s="94"/>
      <c r="K378" s="94"/>
      <c r="L378" s="94"/>
      <c r="M378" s="94"/>
      <c r="N378" s="94"/>
      <c r="O378" s="94"/>
      <c r="P378" s="94"/>
      <c r="Q378" s="94"/>
      <c r="R378" s="94"/>
      <c r="S378" s="94"/>
      <c r="T378" s="94"/>
      <c r="U378" s="94"/>
      <c r="V378" s="94"/>
      <c r="W378" s="94"/>
      <c r="X378" s="94"/>
      <c r="Y378" s="94"/>
    </row>
    <row r="379">
      <c r="A379" s="1"/>
      <c r="B379" s="44"/>
      <c r="D379" s="44"/>
      <c r="E379" s="94"/>
      <c r="F379" s="94"/>
      <c r="G379" s="94"/>
      <c r="H379" s="94"/>
      <c r="I379" s="94"/>
      <c r="J379" s="94"/>
      <c r="K379" s="94"/>
      <c r="L379" s="94"/>
      <c r="M379" s="94"/>
      <c r="N379" s="94"/>
      <c r="O379" s="94"/>
      <c r="P379" s="94"/>
      <c r="Q379" s="94"/>
      <c r="R379" s="94"/>
      <c r="S379" s="94"/>
      <c r="T379" s="94"/>
      <c r="U379" s="94"/>
      <c r="V379" s="94"/>
      <c r="W379" s="94"/>
      <c r="X379" s="94"/>
      <c r="Y379" s="94"/>
    </row>
    <row r="380">
      <c r="A380" s="1"/>
      <c r="B380" s="44"/>
      <c r="D380" s="44"/>
      <c r="E380" s="94"/>
      <c r="F380" s="94"/>
      <c r="G380" s="94"/>
      <c r="H380" s="94"/>
      <c r="I380" s="94"/>
      <c r="J380" s="94"/>
      <c r="K380" s="94"/>
      <c r="L380" s="94"/>
      <c r="M380" s="94"/>
      <c r="N380" s="94"/>
      <c r="O380" s="94"/>
      <c r="P380" s="94"/>
      <c r="Q380" s="94"/>
      <c r="R380" s="94"/>
      <c r="S380" s="94"/>
      <c r="T380" s="94"/>
      <c r="U380" s="94"/>
      <c r="V380" s="94"/>
      <c r="W380" s="94"/>
      <c r="X380" s="94"/>
      <c r="Y380" s="94"/>
    </row>
    <row r="381">
      <c r="A381" s="1"/>
      <c r="B381" s="44"/>
      <c r="D381" s="44"/>
      <c r="E381" s="94"/>
      <c r="F381" s="94"/>
      <c r="G381" s="94"/>
      <c r="H381" s="94"/>
      <c r="I381" s="94"/>
      <c r="J381" s="94"/>
      <c r="K381" s="94"/>
      <c r="L381" s="94"/>
      <c r="M381" s="94"/>
      <c r="N381" s="94"/>
      <c r="O381" s="94"/>
      <c r="P381" s="94"/>
      <c r="Q381" s="94"/>
      <c r="R381" s="94"/>
      <c r="S381" s="94"/>
      <c r="T381" s="94"/>
      <c r="U381" s="94"/>
      <c r="V381" s="94"/>
      <c r="W381" s="94"/>
      <c r="X381" s="94"/>
      <c r="Y381" s="94"/>
    </row>
    <row r="382">
      <c r="A382" s="1"/>
      <c r="B382" s="44"/>
      <c r="D382" s="44"/>
      <c r="E382" s="94"/>
      <c r="F382" s="94"/>
      <c r="G382" s="94"/>
      <c r="H382" s="94"/>
      <c r="I382" s="94"/>
      <c r="J382" s="94"/>
      <c r="K382" s="94"/>
      <c r="L382" s="94"/>
      <c r="M382" s="94"/>
      <c r="N382" s="94"/>
      <c r="O382" s="94"/>
      <c r="P382" s="94"/>
      <c r="Q382" s="94"/>
      <c r="R382" s="94"/>
      <c r="S382" s="94"/>
      <c r="T382" s="94"/>
      <c r="U382" s="94"/>
      <c r="V382" s="94"/>
      <c r="W382" s="94"/>
      <c r="X382" s="94"/>
      <c r="Y382" s="94"/>
    </row>
    <row r="383">
      <c r="A383" s="1"/>
      <c r="B383" s="44"/>
      <c r="D383" s="44"/>
      <c r="E383" s="94"/>
      <c r="F383" s="94"/>
      <c r="G383" s="94"/>
      <c r="H383" s="94"/>
      <c r="I383" s="94"/>
      <c r="J383" s="94"/>
      <c r="K383" s="94"/>
      <c r="L383" s="94"/>
      <c r="M383" s="94"/>
      <c r="N383" s="94"/>
      <c r="O383" s="94"/>
      <c r="P383" s="94"/>
      <c r="Q383" s="94"/>
      <c r="R383" s="94"/>
      <c r="S383" s="94"/>
      <c r="T383" s="94"/>
      <c r="U383" s="94"/>
      <c r="V383" s="94"/>
      <c r="W383" s="94"/>
      <c r="X383" s="94"/>
      <c r="Y383" s="94"/>
    </row>
    <row r="384">
      <c r="A384" s="1"/>
      <c r="B384" s="44"/>
      <c r="D384" s="44"/>
      <c r="E384" s="94"/>
      <c r="F384" s="94"/>
      <c r="G384" s="94"/>
      <c r="H384" s="94"/>
      <c r="I384" s="94"/>
      <c r="J384" s="94"/>
      <c r="K384" s="94"/>
      <c r="L384" s="94"/>
      <c r="M384" s="94"/>
      <c r="N384" s="94"/>
      <c r="O384" s="94"/>
      <c r="P384" s="94"/>
      <c r="Q384" s="94"/>
      <c r="R384" s="94"/>
      <c r="S384" s="94"/>
      <c r="T384" s="94"/>
      <c r="U384" s="94"/>
      <c r="V384" s="94"/>
      <c r="W384" s="94"/>
      <c r="X384" s="94"/>
      <c r="Y384" s="94"/>
    </row>
    <row r="385">
      <c r="A385" s="1"/>
      <c r="B385" s="44"/>
      <c r="D385" s="44"/>
      <c r="E385" s="94"/>
      <c r="F385" s="94"/>
      <c r="G385" s="94"/>
      <c r="H385" s="94"/>
      <c r="I385" s="94"/>
      <c r="J385" s="94"/>
      <c r="K385" s="94"/>
      <c r="L385" s="94"/>
      <c r="M385" s="94"/>
      <c r="N385" s="94"/>
      <c r="O385" s="94"/>
      <c r="P385" s="94"/>
      <c r="Q385" s="94"/>
      <c r="R385" s="94"/>
      <c r="S385" s="94"/>
      <c r="T385" s="94"/>
      <c r="U385" s="94"/>
      <c r="V385" s="94"/>
      <c r="W385" s="94"/>
      <c r="X385" s="94"/>
      <c r="Y385" s="94"/>
    </row>
    <row r="386">
      <c r="A386" s="1"/>
      <c r="B386" s="44"/>
      <c r="D386" s="44"/>
      <c r="E386" s="94"/>
      <c r="F386" s="94"/>
      <c r="G386" s="94"/>
      <c r="H386" s="94"/>
      <c r="I386" s="94"/>
      <c r="J386" s="94"/>
      <c r="K386" s="94"/>
      <c r="L386" s="94"/>
      <c r="M386" s="94"/>
      <c r="N386" s="94"/>
      <c r="O386" s="94"/>
      <c r="P386" s="94"/>
      <c r="Q386" s="94"/>
      <c r="R386" s="94"/>
      <c r="S386" s="94"/>
      <c r="T386" s="94"/>
      <c r="U386" s="94"/>
      <c r="V386" s="94"/>
      <c r="W386" s="94"/>
      <c r="X386" s="94"/>
      <c r="Y386" s="94"/>
    </row>
    <row r="387">
      <c r="A387" s="1"/>
      <c r="B387" s="44"/>
      <c r="D387" s="44"/>
      <c r="E387" s="94"/>
      <c r="F387" s="94"/>
      <c r="G387" s="94"/>
      <c r="H387" s="94"/>
      <c r="I387" s="94"/>
      <c r="J387" s="94"/>
      <c r="K387" s="94"/>
      <c r="L387" s="94"/>
      <c r="M387" s="94"/>
      <c r="N387" s="94"/>
      <c r="O387" s="94"/>
      <c r="P387" s="94"/>
      <c r="Q387" s="94"/>
      <c r="R387" s="94"/>
      <c r="S387" s="94"/>
      <c r="T387" s="94"/>
      <c r="U387" s="94"/>
      <c r="V387" s="94"/>
      <c r="W387" s="94"/>
      <c r="X387" s="94"/>
      <c r="Y387" s="94"/>
    </row>
    <row r="388">
      <c r="A388" s="1"/>
      <c r="B388" s="44"/>
      <c r="D388" s="44"/>
      <c r="E388" s="94"/>
      <c r="F388" s="94"/>
      <c r="G388" s="94"/>
      <c r="H388" s="94"/>
      <c r="I388" s="94"/>
      <c r="J388" s="94"/>
      <c r="K388" s="94"/>
      <c r="L388" s="94"/>
      <c r="M388" s="94"/>
      <c r="N388" s="94"/>
      <c r="O388" s="94"/>
      <c r="P388" s="94"/>
      <c r="Q388" s="94"/>
      <c r="R388" s="94"/>
      <c r="S388" s="94"/>
      <c r="T388" s="94"/>
      <c r="U388" s="94"/>
      <c r="V388" s="94"/>
      <c r="W388" s="94"/>
      <c r="X388" s="94"/>
      <c r="Y388" s="94"/>
    </row>
    <row r="389">
      <c r="A389" s="1"/>
      <c r="B389" s="44"/>
      <c r="D389" s="44"/>
      <c r="E389" s="94"/>
      <c r="F389" s="94"/>
      <c r="G389" s="94"/>
      <c r="H389" s="94"/>
      <c r="I389" s="94"/>
      <c r="J389" s="94"/>
      <c r="K389" s="94"/>
      <c r="L389" s="94"/>
      <c r="M389" s="94"/>
      <c r="N389" s="94"/>
      <c r="O389" s="94"/>
      <c r="P389" s="94"/>
      <c r="Q389" s="94"/>
      <c r="R389" s="94"/>
      <c r="S389" s="94"/>
      <c r="T389" s="94"/>
      <c r="U389" s="94"/>
      <c r="V389" s="94"/>
      <c r="W389" s="94"/>
      <c r="X389" s="94"/>
      <c r="Y389" s="94"/>
    </row>
    <row r="390">
      <c r="A390" s="1"/>
      <c r="B390" s="44"/>
      <c r="D390" s="44"/>
      <c r="E390" s="94"/>
      <c r="F390" s="94"/>
      <c r="G390" s="94"/>
      <c r="H390" s="94"/>
      <c r="I390" s="94"/>
      <c r="J390" s="94"/>
      <c r="K390" s="94"/>
      <c r="L390" s="94"/>
      <c r="M390" s="94"/>
      <c r="N390" s="94"/>
      <c r="O390" s="94"/>
      <c r="P390" s="94"/>
      <c r="Q390" s="94"/>
      <c r="R390" s="94"/>
      <c r="S390" s="94"/>
      <c r="T390" s="94"/>
      <c r="U390" s="94"/>
      <c r="V390" s="94"/>
      <c r="W390" s="94"/>
      <c r="X390" s="94"/>
      <c r="Y390" s="94"/>
    </row>
    <row r="391">
      <c r="A391" s="1"/>
      <c r="B391" s="44"/>
      <c r="D391" s="44"/>
      <c r="E391" s="94"/>
      <c r="F391" s="94"/>
      <c r="G391" s="94"/>
      <c r="H391" s="94"/>
      <c r="I391" s="94"/>
      <c r="J391" s="94"/>
      <c r="K391" s="94"/>
      <c r="L391" s="94"/>
      <c r="M391" s="94"/>
      <c r="N391" s="94"/>
      <c r="O391" s="94"/>
      <c r="P391" s="94"/>
      <c r="Q391" s="94"/>
      <c r="R391" s="94"/>
      <c r="S391" s="94"/>
      <c r="T391" s="94"/>
      <c r="U391" s="94"/>
      <c r="V391" s="94"/>
      <c r="W391" s="94"/>
      <c r="X391" s="94"/>
      <c r="Y391" s="94"/>
    </row>
    <row r="392">
      <c r="A392" s="1"/>
      <c r="B392" s="44"/>
      <c r="D392" s="44"/>
      <c r="E392" s="94"/>
      <c r="F392" s="94"/>
      <c r="G392" s="94"/>
      <c r="H392" s="94"/>
      <c r="I392" s="94"/>
      <c r="J392" s="94"/>
      <c r="K392" s="94"/>
      <c r="L392" s="94"/>
      <c r="M392" s="94"/>
      <c r="N392" s="94"/>
      <c r="O392" s="94"/>
      <c r="P392" s="94"/>
      <c r="Q392" s="94"/>
      <c r="R392" s="94"/>
      <c r="S392" s="94"/>
      <c r="T392" s="94"/>
      <c r="U392" s="94"/>
      <c r="V392" s="94"/>
      <c r="W392" s="94"/>
      <c r="X392" s="94"/>
      <c r="Y392" s="94"/>
    </row>
    <row r="393">
      <c r="A393" s="1"/>
      <c r="B393" s="44"/>
      <c r="D393" s="44"/>
      <c r="E393" s="94"/>
      <c r="F393" s="94"/>
      <c r="G393" s="94"/>
      <c r="H393" s="94"/>
      <c r="I393" s="94"/>
      <c r="J393" s="94"/>
      <c r="K393" s="94"/>
      <c r="L393" s="94"/>
      <c r="M393" s="94"/>
      <c r="N393" s="94"/>
      <c r="O393" s="94"/>
      <c r="P393" s="94"/>
      <c r="Q393" s="94"/>
      <c r="R393" s="94"/>
      <c r="S393" s="94"/>
      <c r="T393" s="94"/>
      <c r="U393" s="94"/>
      <c r="V393" s="94"/>
      <c r="W393" s="94"/>
      <c r="X393" s="94"/>
      <c r="Y393" s="94"/>
    </row>
    <row r="394">
      <c r="A394" s="1"/>
      <c r="B394" s="44"/>
      <c r="D394" s="44"/>
      <c r="E394" s="94"/>
      <c r="F394" s="94"/>
      <c r="G394" s="94"/>
      <c r="H394" s="94"/>
      <c r="I394" s="94"/>
      <c r="J394" s="94"/>
      <c r="K394" s="94"/>
      <c r="L394" s="94"/>
      <c r="M394" s="94"/>
      <c r="N394" s="94"/>
      <c r="O394" s="94"/>
      <c r="P394" s="94"/>
      <c r="Q394" s="94"/>
      <c r="R394" s="94"/>
      <c r="S394" s="94"/>
      <c r="T394" s="94"/>
      <c r="U394" s="94"/>
      <c r="V394" s="94"/>
      <c r="W394" s="94"/>
      <c r="X394" s="94"/>
      <c r="Y394" s="94"/>
    </row>
    <row r="395">
      <c r="A395" s="1"/>
      <c r="B395" s="44"/>
      <c r="D395" s="44"/>
      <c r="E395" s="94"/>
      <c r="F395" s="94"/>
      <c r="G395" s="94"/>
      <c r="H395" s="94"/>
      <c r="I395" s="94"/>
      <c r="J395" s="94"/>
      <c r="K395" s="94"/>
      <c r="L395" s="94"/>
      <c r="M395" s="94"/>
      <c r="N395" s="94"/>
      <c r="O395" s="94"/>
      <c r="P395" s="94"/>
      <c r="Q395" s="94"/>
      <c r="R395" s="94"/>
      <c r="S395" s="94"/>
      <c r="T395" s="94"/>
      <c r="U395" s="94"/>
      <c r="V395" s="94"/>
      <c r="W395" s="94"/>
      <c r="X395" s="94"/>
      <c r="Y395" s="94"/>
    </row>
    <row r="396">
      <c r="A396" s="1"/>
      <c r="B396" s="44"/>
      <c r="D396" s="44"/>
      <c r="E396" s="94"/>
      <c r="F396" s="94"/>
      <c r="G396" s="94"/>
      <c r="H396" s="94"/>
      <c r="I396" s="94"/>
      <c r="J396" s="94"/>
      <c r="K396" s="94"/>
      <c r="L396" s="94"/>
      <c r="M396" s="94"/>
      <c r="N396" s="94"/>
      <c r="O396" s="94"/>
      <c r="P396" s="94"/>
      <c r="Q396" s="94"/>
      <c r="R396" s="94"/>
      <c r="S396" s="94"/>
      <c r="T396" s="94"/>
      <c r="U396" s="94"/>
      <c r="V396" s="94"/>
      <c r="W396" s="94"/>
      <c r="X396" s="94"/>
      <c r="Y396" s="94"/>
    </row>
    <row r="397">
      <c r="A397" s="1"/>
      <c r="B397" s="44"/>
      <c r="D397" s="44"/>
      <c r="E397" s="94"/>
      <c r="F397" s="94"/>
      <c r="G397" s="94"/>
      <c r="H397" s="94"/>
      <c r="I397" s="94"/>
      <c r="J397" s="94"/>
      <c r="K397" s="94"/>
      <c r="L397" s="94"/>
      <c r="M397" s="94"/>
      <c r="N397" s="94"/>
      <c r="O397" s="94"/>
      <c r="P397" s="94"/>
      <c r="Q397" s="94"/>
      <c r="R397" s="94"/>
      <c r="S397" s="94"/>
      <c r="T397" s="94"/>
      <c r="U397" s="94"/>
      <c r="V397" s="94"/>
      <c r="W397" s="94"/>
      <c r="X397" s="94"/>
      <c r="Y397" s="94"/>
    </row>
    <row r="398">
      <c r="A398" s="1"/>
      <c r="B398" s="44"/>
      <c r="D398" s="44"/>
      <c r="E398" s="94"/>
      <c r="F398" s="94"/>
      <c r="G398" s="94"/>
      <c r="H398" s="94"/>
      <c r="I398" s="94"/>
      <c r="J398" s="94"/>
      <c r="K398" s="94"/>
      <c r="L398" s="94"/>
      <c r="M398" s="94"/>
      <c r="N398" s="94"/>
      <c r="O398" s="94"/>
      <c r="P398" s="94"/>
      <c r="Q398" s="94"/>
      <c r="R398" s="94"/>
      <c r="S398" s="94"/>
      <c r="T398" s="94"/>
      <c r="U398" s="94"/>
      <c r="V398" s="94"/>
      <c r="W398" s="94"/>
      <c r="X398" s="94"/>
      <c r="Y398" s="94"/>
    </row>
    <row r="399">
      <c r="A399" s="1"/>
      <c r="B399" s="44"/>
      <c r="D399" s="44"/>
      <c r="E399" s="94"/>
      <c r="F399" s="94"/>
      <c r="G399" s="94"/>
      <c r="H399" s="94"/>
      <c r="I399" s="94"/>
      <c r="J399" s="94"/>
      <c r="K399" s="94"/>
      <c r="L399" s="94"/>
      <c r="M399" s="94"/>
      <c r="N399" s="94"/>
      <c r="O399" s="94"/>
      <c r="P399" s="94"/>
      <c r="Q399" s="94"/>
      <c r="R399" s="94"/>
      <c r="S399" s="94"/>
      <c r="T399" s="94"/>
      <c r="U399" s="94"/>
      <c r="V399" s="94"/>
      <c r="W399" s="94"/>
      <c r="X399" s="94"/>
      <c r="Y399" s="94"/>
    </row>
    <row r="400">
      <c r="A400" s="1"/>
      <c r="B400" s="44"/>
      <c r="D400" s="44"/>
      <c r="E400" s="94"/>
      <c r="F400" s="94"/>
      <c r="G400" s="94"/>
      <c r="H400" s="94"/>
      <c r="I400" s="94"/>
      <c r="J400" s="94"/>
      <c r="K400" s="94"/>
      <c r="L400" s="94"/>
      <c r="M400" s="94"/>
      <c r="N400" s="94"/>
      <c r="O400" s="94"/>
      <c r="P400" s="94"/>
      <c r="Q400" s="94"/>
      <c r="R400" s="94"/>
      <c r="S400" s="94"/>
      <c r="T400" s="94"/>
      <c r="U400" s="94"/>
      <c r="V400" s="94"/>
      <c r="W400" s="94"/>
      <c r="X400" s="94"/>
      <c r="Y400" s="94"/>
    </row>
    <row r="401">
      <c r="A401" s="1"/>
      <c r="B401" s="44"/>
      <c r="D401" s="44"/>
      <c r="E401" s="94"/>
      <c r="F401" s="94"/>
      <c r="G401" s="94"/>
      <c r="H401" s="94"/>
      <c r="I401" s="94"/>
      <c r="J401" s="94"/>
      <c r="K401" s="94"/>
      <c r="L401" s="94"/>
      <c r="M401" s="94"/>
      <c r="N401" s="94"/>
      <c r="O401" s="94"/>
      <c r="P401" s="94"/>
      <c r="Q401" s="94"/>
      <c r="R401" s="94"/>
      <c r="S401" s="94"/>
      <c r="T401" s="94"/>
      <c r="U401" s="94"/>
      <c r="V401" s="94"/>
      <c r="W401" s="94"/>
      <c r="X401" s="94"/>
      <c r="Y401" s="94"/>
    </row>
    <row r="402">
      <c r="A402" s="1"/>
      <c r="B402" s="44"/>
      <c r="D402" s="44"/>
      <c r="E402" s="94"/>
      <c r="F402" s="94"/>
      <c r="G402" s="94"/>
      <c r="H402" s="94"/>
      <c r="I402" s="94"/>
      <c r="J402" s="94"/>
      <c r="K402" s="94"/>
      <c r="L402" s="94"/>
      <c r="M402" s="94"/>
      <c r="N402" s="94"/>
      <c r="O402" s="94"/>
      <c r="P402" s="94"/>
      <c r="Q402" s="94"/>
      <c r="R402" s="94"/>
      <c r="S402" s="94"/>
      <c r="T402" s="94"/>
      <c r="U402" s="94"/>
      <c r="V402" s="94"/>
      <c r="W402" s="94"/>
      <c r="X402" s="94"/>
      <c r="Y402" s="94"/>
    </row>
    <row r="403">
      <c r="A403" s="1"/>
      <c r="B403" s="44"/>
      <c r="D403" s="44"/>
      <c r="E403" s="94"/>
      <c r="F403" s="94"/>
      <c r="G403" s="94"/>
      <c r="H403" s="94"/>
      <c r="I403" s="94"/>
      <c r="J403" s="94"/>
      <c r="K403" s="94"/>
      <c r="L403" s="94"/>
      <c r="M403" s="94"/>
      <c r="N403" s="94"/>
      <c r="O403" s="94"/>
      <c r="P403" s="94"/>
      <c r="Q403" s="94"/>
      <c r="R403" s="94"/>
      <c r="S403" s="94"/>
      <c r="T403" s="94"/>
      <c r="U403" s="94"/>
      <c r="V403" s="94"/>
      <c r="W403" s="94"/>
      <c r="X403" s="94"/>
      <c r="Y403" s="94"/>
    </row>
    <row r="404">
      <c r="A404" s="1"/>
      <c r="B404" s="44"/>
      <c r="D404" s="44"/>
      <c r="E404" s="94"/>
      <c r="F404" s="94"/>
      <c r="G404" s="94"/>
      <c r="H404" s="94"/>
      <c r="I404" s="94"/>
      <c r="J404" s="94"/>
      <c r="K404" s="94"/>
      <c r="L404" s="94"/>
      <c r="M404" s="94"/>
      <c r="N404" s="94"/>
      <c r="O404" s="94"/>
      <c r="P404" s="94"/>
      <c r="Q404" s="94"/>
      <c r="R404" s="94"/>
      <c r="S404" s="94"/>
      <c r="T404" s="94"/>
      <c r="U404" s="94"/>
      <c r="V404" s="94"/>
      <c r="W404" s="94"/>
      <c r="X404" s="94"/>
      <c r="Y404" s="94"/>
    </row>
    <row r="405">
      <c r="A405" s="1"/>
      <c r="B405" s="44"/>
      <c r="D405" s="44"/>
      <c r="E405" s="94"/>
      <c r="F405" s="94"/>
      <c r="G405" s="94"/>
      <c r="H405" s="94"/>
      <c r="I405" s="94"/>
      <c r="J405" s="94"/>
      <c r="K405" s="94"/>
      <c r="L405" s="94"/>
      <c r="M405" s="94"/>
      <c r="N405" s="94"/>
      <c r="O405" s="94"/>
      <c r="P405" s="94"/>
      <c r="Q405" s="94"/>
      <c r="R405" s="94"/>
      <c r="S405" s="94"/>
      <c r="T405" s="94"/>
      <c r="U405" s="94"/>
      <c r="V405" s="94"/>
      <c r="W405" s="94"/>
      <c r="X405" s="94"/>
      <c r="Y405" s="94"/>
    </row>
    <row r="406">
      <c r="A406" s="1"/>
      <c r="B406" s="44"/>
      <c r="D406" s="44"/>
      <c r="E406" s="94"/>
      <c r="F406" s="94"/>
      <c r="G406" s="94"/>
      <c r="H406" s="94"/>
      <c r="I406" s="94"/>
      <c r="J406" s="94"/>
      <c r="K406" s="94"/>
      <c r="L406" s="94"/>
      <c r="M406" s="94"/>
      <c r="N406" s="94"/>
      <c r="O406" s="94"/>
      <c r="P406" s="94"/>
      <c r="Q406" s="94"/>
      <c r="R406" s="94"/>
      <c r="S406" s="94"/>
      <c r="T406" s="94"/>
      <c r="U406" s="94"/>
      <c r="V406" s="94"/>
      <c r="W406" s="94"/>
      <c r="X406" s="94"/>
      <c r="Y406" s="94"/>
    </row>
    <row r="407">
      <c r="A407" s="1"/>
      <c r="B407" s="44"/>
      <c r="D407" s="44"/>
      <c r="E407" s="94"/>
      <c r="F407" s="94"/>
      <c r="G407" s="94"/>
      <c r="H407" s="94"/>
      <c r="I407" s="94"/>
      <c r="J407" s="94"/>
      <c r="K407" s="94"/>
      <c r="L407" s="94"/>
      <c r="M407" s="94"/>
      <c r="N407" s="94"/>
      <c r="O407" s="94"/>
      <c r="P407" s="94"/>
      <c r="Q407" s="94"/>
      <c r="R407" s="94"/>
      <c r="S407" s="94"/>
      <c r="T407" s="94"/>
      <c r="U407" s="94"/>
      <c r="V407" s="94"/>
      <c r="W407" s="94"/>
      <c r="X407" s="94"/>
      <c r="Y407" s="94"/>
    </row>
    <row r="408">
      <c r="A408" s="1"/>
      <c r="B408" s="44"/>
      <c r="D408" s="44"/>
      <c r="E408" s="94"/>
      <c r="F408" s="94"/>
      <c r="G408" s="94"/>
      <c r="H408" s="94"/>
      <c r="I408" s="94"/>
      <c r="J408" s="94"/>
      <c r="K408" s="94"/>
      <c r="L408" s="94"/>
      <c r="M408" s="94"/>
      <c r="N408" s="94"/>
      <c r="O408" s="94"/>
      <c r="P408" s="94"/>
      <c r="Q408" s="94"/>
      <c r="R408" s="94"/>
      <c r="S408" s="94"/>
      <c r="T408" s="94"/>
      <c r="U408" s="94"/>
      <c r="V408" s="94"/>
      <c r="W408" s="94"/>
      <c r="X408" s="94"/>
      <c r="Y408" s="94"/>
    </row>
    <row r="409">
      <c r="A409" s="1"/>
      <c r="B409" s="44"/>
      <c r="D409" s="44"/>
      <c r="E409" s="94"/>
      <c r="F409" s="94"/>
      <c r="G409" s="94"/>
      <c r="H409" s="94"/>
      <c r="I409" s="94"/>
      <c r="J409" s="94"/>
      <c r="K409" s="94"/>
      <c r="L409" s="94"/>
      <c r="M409" s="94"/>
      <c r="N409" s="94"/>
      <c r="O409" s="94"/>
      <c r="P409" s="94"/>
      <c r="Q409" s="94"/>
      <c r="R409" s="94"/>
      <c r="S409" s="94"/>
      <c r="T409" s="94"/>
      <c r="U409" s="94"/>
      <c r="V409" s="94"/>
      <c r="W409" s="94"/>
      <c r="X409" s="94"/>
      <c r="Y409" s="94"/>
    </row>
    <row r="410">
      <c r="A410" s="1"/>
      <c r="B410" s="44"/>
      <c r="D410" s="44"/>
      <c r="E410" s="94"/>
      <c r="F410" s="94"/>
      <c r="G410" s="94"/>
      <c r="H410" s="94"/>
      <c r="I410" s="94"/>
      <c r="J410" s="94"/>
      <c r="K410" s="94"/>
      <c r="L410" s="94"/>
      <c r="M410" s="94"/>
      <c r="N410" s="94"/>
      <c r="O410" s="94"/>
      <c r="P410" s="94"/>
      <c r="Q410" s="94"/>
      <c r="R410" s="94"/>
      <c r="S410" s="94"/>
      <c r="T410" s="94"/>
      <c r="U410" s="94"/>
      <c r="V410" s="94"/>
      <c r="W410" s="94"/>
      <c r="X410" s="94"/>
      <c r="Y410" s="94"/>
    </row>
    <row r="411">
      <c r="A411" s="1"/>
      <c r="B411" s="44"/>
      <c r="D411" s="44"/>
      <c r="E411" s="94"/>
      <c r="F411" s="94"/>
      <c r="G411" s="94"/>
      <c r="H411" s="94"/>
      <c r="I411" s="94"/>
      <c r="J411" s="94"/>
      <c r="K411" s="94"/>
      <c r="L411" s="94"/>
      <c r="M411" s="94"/>
      <c r="N411" s="94"/>
      <c r="O411" s="94"/>
      <c r="P411" s="94"/>
      <c r="Q411" s="94"/>
      <c r="R411" s="94"/>
      <c r="S411" s="94"/>
      <c r="T411" s="94"/>
      <c r="U411" s="94"/>
      <c r="V411" s="94"/>
      <c r="W411" s="94"/>
      <c r="X411" s="94"/>
      <c r="Y411" s="94"/>
    </row>
    <row r="412">
      <c r="A412" s="1"/>
      <c r="B412" s="44"/>
      <c r="D412" s="44"/>
      <c r="E412" s="94"/>
      <c r="F412" s="94"/>
      <c r="G412" s="94"/>
      <c r="H412" s="94"/>
      <c r="I412" s="94"/>
      <c r="J412" s="94"/>
      <c r="K412" s="94"/>
      <c r="L412" s="94"/>
      <c r="M412" s="94"/>
      <c r="N412" s="94"/>
      <c r="O412" s="94"/>
      <c r="P412" s="94"/>
      <c r="Q412" s="94"/>
      <c r="R412" s="94"/>
      <c r="S412" s="94"/>
      <c r="T412" s="94"/>
      <c r="U412" s="94"/>
      <c r="V412" s="94"/>
      <c r="W412" s="94"/>
      <c r="X412" s="94"/>
      <c r="Y412" s="94"/>
    </row>
    <row r="413">
      <c r="A413" s="1"/>
      <c r="B413" s="44"/>
      <c r="D413" s="44"/>
      <c r="E413" s="94"/>
      <c r="F413" s="94"/>
      <c r="G413" s="94"/>
      <c r="H413" s="94"/>
      <c r="I413" s="94"/>
      <c r="J413" s="94"/>
      <c r="K413" s="94"/>
      <c r="L413" s="94"/>
      <c r="M413" s="94"/>
      <c r="N413" s="94"/>
      <c r="O413" s="94"/>
      <c r="P413" s="94"/>
      <c r="Q413" s="94"/>
      <c r="R413" s="94"/>
      <c r="S413" s="94"/>
      <c r="T413" s="94"/>
      <c r="U413" s="94"/>
      <c r="V413" s="94"/>
      <c r="W413" s="94"/>
      <c r="X413" s="94"/>
      <c r="Y413" s="94"/>
    </row>
    <row r="414">
      <c r="A414" s="1"/>
      <c r="B414" s="44"/>
      <c r="D414" s="44"/>
      <c r="E414" s="94"/>
      <c r="F414" s="94"/>
      <c r="G414" s="94"/>
      <c r="H414" s="94"/>
      <c r="I414" s="94"/>
      <c r="J414" s="94"/>
      <c r="K414" s="94"/>
      <c r="L414" s="94"/>
      <c r="M414" s="94"/>
      <c r="N414" s="94"/>
      <c r="O414" s="94"/>
      <c r="P414" s="94"/>
      <c r="Q414" s="94"/>
      <c r="R414" s="94"/>
      <c r="S414" s="94"/>
      <c r="T414" s="94"/>
      <c r="U414" s="94"/>
      <c r="V414" s="94"/>
      <c r="W414" s="94"/>
      <c r="X414" s="94"/>
      <c r="Y414" s="94"/>
    </row>
    <row r="415">
      <c r="A415" s="1"/>
      <c r="B415" s="44"/>
      <c r="D415" s="44"/>
      <c r="E415" s="94"/>
      <c r="F415" s="94"/>
      <c r="G415" s="94"/>
      <c r="H415" s="94"/>
      <c r="I415" s="94"/>
      <c r="J415" s="94"/>
      <c r="K415" s="94"/>
      <c r="L415" s="94"/>
      <c r="M415" s="94"/>
      <c r="N415" s="94"/>
      <c r="O415" s="94"/>
      <c r="P415" s="94"/>
      <c r="Q415" s="94"/>
      <c r="R415" s="94"/>
      <c r="S415" s="94"/>
      <c r="T415" s="94"/>
      <c r="U415" s="94"/>
      <c r="V415" s="94"/>
      <c r="W415" s="94"/>
      <c r="X415" s="94"/>
      <c r="Y415" s="94"/>
    </row>
    <row r="416">
      <c r="A416" s="1"/>
      <c r="B416" s="44"/>
      <c r="D416" s="44"/>
      <c r="E416" s="94"/>
      <c r="F416" s="94"/>
      <c r="G416" s="94"/>
      <c r="H416" s="94"/>
      <c r="I416" s="94"/>
      <c r="J416" s="94"/>
      <c r="K416" s="94"/>
      <c r="L416" s="94"/>
      <c r="M416" s="94"/>
      <c r="N416" s="94"/>
      <c r="O416" s="94"/>
      <c r="P416" s="94"/>
      <c r="Q416" s="94"/>
      <c r="R416" s="94"/>
      <c r="S416" s="94"/>
      <c r="T416" s="94"/>
      <c r="U416" s="94"/>
      <c r="V416" s="94"/>
      <c r="W416" s="94"/>
      <c r="X416" s="94"/>
      <c r="Y416" s="94"/>
    </row>
    <row r="417">
      <c r="A417" s="1"/>
      <c r="B417" s="44"/>
      <c r="D417" s="44"/>
      <c r="E417" s="94"/>
      <c r="F417" s="94"/>
      <c r="G417" s="94"/>
      <c r="H417" s="94"/>
      <c r="I417" s="94"/>
      <c r="J417" s="94"/>
      <c r="K417" s="94"/>
      <c r="L417" s="94"/>
      <c r="M417" s="94"/>
      <c r="N417" s="94"/>
      <c r="O417" s="94"/>
      <c r="P417" s="94"/>
      <c r="Q417" s="94"/>
      <c r="R417" s="94"/>
      <c r="S417" s="94"/>
      <c r="T417" s="94"/>
      <c r="U417" s="94"/>
      <c r="V417" s="94"/>
      <c r="W417" s="94"/>
      <c r="X417" s="94"/>
      <c r="Y417" s="94"/>
    </row>
    <row r="418">
      <c r="A418" s="1"/>
      <c r="B418" s="44"/>
      <c r="D418" s="44"/>
      <c r="E418" s="94"/>
      <c r="F418" s="94"/>
      <c r="G418" s="94"/>
      <c r="H418" s="94"/>
      <c r="I418" s="94"/>
      <c r="J418" s="94"/>
      <c r="K418" s="94"/>
      <c r="L418" s="94"/>
      <c r="M418" s="94"/>
      <c r="N418" s="94"/>
      <c r="O418" s="94"/>
      <c r="P418" s="94"/>
      <c r="Q418" s="94"/>
      <c r="R418" s="94"/>
      <c r="S418" s="94"/>
      <c r="T418" s="94"/>
      <c r="U418" s="94"/>
      <c r="V418" s="94"/>
      <c r="W418" s="94"/>
      <c r="X418" s="94"/>
      <c r="Y418" s="94"/>
    </row>
    <row r="419">
      <c r="A419" s="1"/>
      <c r="B419" s="44"/>
      <c r="D419" s="44"/>
      <c r="E419" s="94"/>
      <c r="F419" s="94"/>
      <c r="G419" s="94"/>
      <c r="H419" s="94"/>
      <c r="I419" s="94"/>
      <c r="J419" s="94"/>
      <c r="K419" s="94"/>
      <c r="L419" s="94"/>
      <c r="M419" s="94"/>
      <c r="N419" s="94"/>
      <c r="O419" s="94"/>
      <c r="P419" s="94"/>
      <c r="Q419" s="94"/>
      <c r="R419" s="94"/>
      <c r="S419" s="94"/>
      <c r="T419" s="94"/>
      <c r="U419" s="94"/>
      <c r="V419" s="94"/>
      <c r="W419" s="94"/>
      <c r="X419" s="94"/>
      <c r="Y419" s="94"/>
    </row>
    <row r="420">
      <c r="A420" s="1"/>
      <c r="B420" s="44"/>
      <c r="D420" s="44"/>
      <c r="E420" s="94"/>
      <c r="F420" s="94"/>
      <c r="G420" s="94"/>
      <c r="H420" s="94"/>
      <c r="I420" s="94"/>
      <c r="J420" s="94"/>
      <c r="K420" s="94"/>
      <c r="L420" s="94"/>
      <c r="M420" s="94"/>
      <c r="N420" s="94"/>
      <c r="O420" s="94"/>
      <c r="P420" s="94"/>
      <c r="Q420" s="94"/>
      <c r="R420" s="94"/>
      <c r="S420" s="94"/>
      <c r="T420" s="94"/>
      <c r="U420" s="94"/>
      <c r="V420" s="94"/>
      <c r="W420" s="94"/>
      <c r="X420" s="94"/>
      <c r="Y420" s="94"/>
    </row>
    <row r="421">
      <c r="A421" s="1"/>
      <c r="B421" s="44"/>
      <c r="D421" s="44"/>
      <c r="E421" s="94"/>
      <c r="F421" s="94"/>
      <c r="G421" s="94"/>
      <c r="H421" s="94"/>
      <c r="I421" s="94"/>
      <c r="J421" s="94"/>
      <c r="K421" s="94"/>
      <c r="L421" s="94"/>
      <c r="M421" s="94"/>
      <c r="N421" s="94"/>
      <c r="O421" s="94"/>
      <c r="P421" s="94"/>
      <c r="Q421" s="94"/>
      <c r="R421" s="94"/>
      <c r="S421" s="94"/>
      <c r="T421" s="94"/>
      <c r="U421" s="94"/>
      <c r="V421" s="94"/>
      <c r="W421" s="94"/>
      <c r="X421" s="94"/>
      <c r="Y421" s="94"/>
    </row>
    <row r="422">
      <c r="A422" s="1"/>
      <c r="B422" s="44"/>
      <c r="D422" s="44"/>
      <c r="E422" s="94"/>
      <c r="F422" s="94"/>
      <c r="G422" s="94"/>
      <c r="H422" s="94"/>
      <c r="I422" s="94"/>
      <c r="J422" s="94"/>
      <c r="K422" s="94"/>
      <c r="L422" s="94"/>
      <c r="M422" s="94"/>
      <c r="N422" s="94"/>
      <c r="O422" s="94"/>
      <c r="P422" s="94"/>
      <c r="Q422" s="94"/>
      <c r="R422" s="94"/>
      <c r="S422" s="94"/>
      <c r="T422" s="94"/>
      <c r="U422" s="94"/>
      <c r="V422" s="94"/>
      <c r="W422" s="94"/>
      <c r="X422" s="94"/>
      <c r="Y422" s="94"/>
    </row>
    <row r="423">
      <c r="A423" s="1"/>
      <c r="B423" s="44"/>
      <c r="D423" s="44"/>
      <c r="E423" s="94"/>
      <c r="F423" s="94"/>
      <c r="G423" s="94"/>
      <c r="H423" s="94"/>
      <c r="I423" s="94"/>
      <c r="J423" s="94"/>
      <c r="K423" s="94"/>
      <c r="L423" s="94"/>
      <c r="M423" s="94"/>
      <c r="N423" s="94"/>
      <c r="O423" s="94"/>
      <c r="P423" s="94"/>
      <c r="Q423" s="94"/>
      <c r="R423" s="94"/>
      <c r="S423" s="94"/>
      <c r="T423" s="94"/>
      <c r="U423" s="94"/>
      <c r="V423" s="94"/>
      <c r="W423" s="94"/>
      <c r="X423" s="94"/>
      <c r="Y423" s="94"/>
    </row>
    <row r="424">
      <c r="A424" s="1"/>
      <c r="B424" s="44"/>
      <c r="D424" s="44"/>
      <c r="E424" s="94"/>
      <c r="F424" s="94"/>
      <c r="G424" s="94"/>
      <c r="H424" s="94"/>
      <c r="I424" s="94"/>
      <c r="J424" s="94"/>
      <c r="K424" s="94"/>
      <c r="L424" s="94"/>
      <c r="M424" s="94"/>
      <c r="N424" s="94"/>
      <c r="O424" s="94"/>
      <c r="P424" s="94"/>
      <c r="Q424" s="94"/>
      <c r="R424" s="94"/>
      <c r="S424" s="94"/>
      <c r="T424" s="94"/>
      <c r="U424" s="94"/>
      <c r="V424" s="94"/>
      <c r="W424" s="94"/>
      <c r="X424" s="94"/>
      <c r="Y424" s="94"/>
    </row>
    <row r="425">
      <c r="A425" s="1"/>
      <c r="B425" s="44"/>
      <c r="D425" s="44"/>
      <c r="E425" s="94"/>
      <c r="F425" s="94"/>
      <c r="G425" s="94"/>
      <c r="H425" s="94"/>
      <c r="I425" s="94"/>
      <c r="J425" s="94"/>
      <c r="K425" s="94"/>
      <c r="L425" s="94"/>
      <c r="M425" s="94"/>
      <c r="N425" s="94"/>
      <c r="O425" s="94"/>
      <c r="P425" s="94"/>
      <c r="Q425" s="94"/>
      <c r="R425" s="94"/>
      <c r="S425" s="94"/>
      <c r="T425" s="94"/>
      <c r="U425" s="94"/>
      <c r="V425" s="94"/>
      <c r="W425" s="94"/>
      <c r="X425" s="94"/>
      <c r="Y425" s="94"/>
    </row>
    <row r="426">
      <c r="A426" s="1"/>
      <c r="B426" s="44"/>
      <c r="D426" s="44"/>
      <c r="E426" s="94"/>
      <c r="F426" s="94"/>
      <c r="G426" s="94"/>
      <c r="H426" s="94"/>
      <c r="I426" s="94"/>
      <c r="J426" s="94"/>
      <c r="K426" s="94"/>
      <c r="L426" s="94"/>
      <c r="M426" s="94"/>
      <c r="N426" s="94"/>
      <c r="O426" s="94"/>
      <c r="P426" s="94"/>
      <c r="Q426" s="94"/>
      <c r="R426" s="94"/>
      <c r="S426" s="94"/>
      <c r="T426" s="94"/>
      <c r="U426" s="94"/>
      <c r="V426" s="94"/>
      <c r="W426" s="94"/>
      <c r="X426" s="94"/>
      <c r="Y426" s="94"/>
    </row>
    <row r="427">
      <c r="A427" s="1"/>
      <c r="B427" s="44"/>
      <c r="D427" s="44"/>
      <c r="E427" s="94"/>
      <c r="F427" s="94"/>
      <c r="G427" s="94"/>
      <c r="H427" s="94"/>
      <c r="I427" s="94"/>
      <c r="J427" s="94"/>
      <c r="K427" s="94"/>
      <c r="L427" s="94"/>
      <c r="M427" s="94"/>
      <c r="N427" s="94"/>
      <c r="O427" s="94"/>
      <c r="P427" s="94"/>
      <c r="Q427" s="94"/>
      <c r="R427" s="94"/>
      <c r="S427" s="94"/>
      <c r="T427" s="94"/>
      <c r="U427" s="94"/>
      <c r="V427" s="94"/>
      <c r="W427" s="94"/>
      <c r="X427" s="94"/>
      <c r="Y427" s="94"/>
    </row>
    <row r="428">
      <c r="A428" s="1"/>
      <c r="B428" s="44"/>
      <c r="D428" s="44"/>
      <c r="E428" s="94"/>
      <c r="F428" s="94"/>
      <c r="G428" s="94"/>
      <c r="H428" s="94"/>
      <c r="I428" s="94"/>
      <c r="J428" s="94"/>
      <c r="K428" s="94"/>
      <c r="L428" s="94"/>
      <c r="M428" s="94"/>
      <c r="N428" s="94"/>
      <c r="O428" s="94"/>
      <c r="P428" s="94"/>
      <c r="Q428" s="94"/>
      <c r="R428" s="94"/>
      <c r="S428" s="94"/>
      <c r="T428" s="94"/>
      <c r="U428" s="94"/>
      <c r="V428" s="94"/>
      <c r="W428" s="94"/>
      <c r="X428" s="94"/>
      <c r="Y428" s="94"/>
    </row>
    <row r="429">
      <c r="A429" s="1"/>
      <c r="B429" s="44"/>
      <c r="D429" s="44"/>
      <c r="E429" s="94"/>
      <c r="F429" s="94"/>
      <c r="G429" s="94"/>
      <c r="H429" s="94"/>
      <c r="I429" s="94"/>
      <c r="J429" s="94"/>
      <c r="K429" s="94"/>
      <c r="L429" s="94"/>
      <c r="M429" s="94"/>
      <c r="N429" s="94"/>
      <c r="O429" s="94"/>
      <c r="P429" s="94"/>
      <c r="Q429" s="94"/>
      <c r="R429" s="94"/>
      <c r="S429" s="94"/>
      <c r="T429" s="94"/>
      <c r="U429" s="94"/>
      <c r="V429" s="94"/>
      <c r="W429" s="94"/>
      <c r="X429" s="94"/>
      <c r="Y429" s="94"/>
    </row>
    <row r="430">
      <c r="A430" s="1"/>
      <c r="B430" s="44"/>
      <c r="D430" s="44"/>
      <c r="E430" s="94"/>
      <c r="F430" s="94"/>
      <c r="G430" s="94"/>
      <c r="H430" s="94"/>
      <c r="I430" s="94"/>
      <c r="J430" s="94"/>
      <c r="K430" s="94"/>
      <c r="L430" s="94"/>
      <c r="M430" s="94"/>
      <c r="N430" s="94"/>
      <c r="O430" s="94"/>
      <c r="P430" s="94"/>
      <c r="Q430" s="94"/>
      <c r="R430" s="94"/>
      <c r="S430" s="94"/>
      <c r="T430" s="94"/>
      <c r="U430" s="94"/>
      <c r="V430" s="94"/>
      <c r="W430" s="94"/>
      <c r="X430" s="94"/>
      <c r="Y430" s="94"/>
    </row>
    <row r="431">
      <c r="A431" s="1"/>
      <c r="B431" s="44"/>
      <c r="D431" s="44"/>
      <c r="E431" s="94"/>
      <c r="F431" s="94"/>
      <c r="G431" s="94"/>
      <c r="H431" s="94"/>
      <c r="I431" s="94"/>
      <c r="J431" s="94"/>
      <c r="K431" s="94"/>
      <c r="L431" s="94"/>
      <c r="M431" s="94"/>
      <c r="N431" s="94"/>
      <c r="O431" s="94"/>
      <c r="P431" s="94"/>
      <c r="Q431" s="94"/>
      <c r="R431" s="94"/>
      <c r="S431" s="94"/>
      <c r="T431" s="94"/>
      <c r="U431" s="94"/>
      <c r="V431" s="94"/>
      <c r="W431" s="94"/>
      <c r="X431" s="94"/>
      <c r="Y431" s="94"/>
    </row>
    <row r="432">
      <c r="A432" s="1"/>
      <c r="B432" s="44"/>
      <c r="D432" s="44"/>
      <c r="E432" s="94"/>
      <c r="F432" s="94"/>
      <c r="G432" s="94"/>
      <c r="H432" s="94"/>
      <c r="I432" s="94"/>
      <c r="J432" s="94"/>
      <c r="K432" s="94"/>
      <c r="L432" s="94"/>
      <c r="M432" s="94"/>
      <c r="N432" s="94"/>
      <c r="O432" s="94"/>
      <c r="P432" s="94"/>
      <c r="Q432" s="94"/>
      <c r="R432" s="94"/>
      <c r="S432" s="94"/>
      <c r="T432" s="94"/>
      <c r="U432" s="94"/>
      <c r="V432" s="94"/>
      <c r="W432" s="94"/>
      <c r="X432" s="94"/>
      <c r="Y432" s="94"/>
    </row>
    <row r="433">
      <c r="A433" s="1"/>
      <c r="B433" s="44"/>
      <c r="D433" s="44"/>
      <c r="E433" s="94"/>
      <c r="F433" s="94"/>
      <c r="G433" s="94"/>
      <c r="H433" s="94"/>
      <c r="I433" s="94"/>
      <c r="J433" s="94"/>
      <c r="K433" s="94"/>
      <c r="L433" s="94"/>
      <c r="M433" s="94"/>
      <c r="N433" s="94"/>
      <c r="O433" s="94"/>
      <c r="P433" s="94"/>
      <c r="Q433" s="94"/>
      <c r="R433" s="94"/>
      <c r="S433" s="94"/>
      <c r="T433" s="94"/>
      <c r="U433" s="94"/>
      <c r="V433" s="94"/>
      <c r="W433" s="94"/>
      <c r="X433" s="94"/>
      <c r="Y433" s="94"/>
    </row>
    <row r="434">
      <c r="A434" s="1"/>
      <c r="B434" s="44"/>
      <c r="D434" s="44"/>
      <c r="E434" s="94"/>
      <c r="F434" s="94"/>
      <c r="G434" s="94"/>
      <c r="H434" s="94"/>
      <c r="I434" s="94"/>
      <c r="J434" s="94"/>
      <c r="K434" s="94"/>
      <c r="L434" s="94"/>
      <c r="M434" s="94"/>
      <c r="N434" s="94"/>
      <c r="O434" s="94"/>
      <c r="P434" s="94"/>
      <c r="Q434" s="94"/>
      <c r="R434" s="94"/>
      <c r="S434" s="94"/>
      <c r="T434" s="94"/>
      <c r="U434" s="94"/>
      <c r="V434" s="94"/>
      <c r="W434" s="94"/>
      <c r="X434" s="94"/>
      <c r="Y434" s="94"/>
    </row>
    <row r="435">
      <c r="A435" s="1"/>
      <c r="B435" s="44"/>
      <c r="D435" s="44"/>
      <c r="E435" s="94"/>
      <c r="F435" s="94"/>
      <c r="G435" s="94"/>
      <c r="H435" s="94"/>
      <c r="I435" s="94"/>
      <c r="J435" s="94"/>
      <c r="K435" s="94"/>
      <c r="L435" s="94"/>
      <c r="M435" s="94"/>
      <c r="N435" s="94"/>
      <c r="O435" s="94"/>
      <c r="P435" s="94"/>
      <c r="Q435" s="94"/>
      <c r="R435" s="94"/>
      <c r="S435" s="94"/>
      <c r="T435" s="94"/>
      <c r="U435" s="94"/>
      <c r="V435" s="94"/>
      <c r="W435" s="94"/>
      <c r="X435" s="94"/>
      <c r="Y435" s="94"/>
    </row>
    <row r="436">
      <c r="A436" s="1"/>
      <c r="B436" s="44"/>
      <c r="D436" s="44"/>
      <c r="E436" s="94"/>
      <c r="F436" s="94"/>
      <c r="G436" s="94"/>
      <c r="H436" s="94"/>
      <c r="I436" s="94"/>
      <c r="J436" s="94"/>
      <c r="K436" s="94"/>
      <c r="L436" s="94"/>
      <c r="M436" s="94"/>
      <c r="N436" s="94"/>
      <c r="O436" s="94"/>
      <c r="P436" s="94"/>
      <c r="Q436" s="94"/>
      <c r="R436" s="94"/>
      <c r="S436" s="94"/>
      <c r="T436" s="94"/>
      <c r="U436" s="94"/>
      <c r="V436" s="94"/>
      <c r="W436" s="94"/>
      <c r="X436" s="94"/>
      <c r="Y436" s="94"/>
    </row>
    <row r="437">
      <c r="A437" s="1"/>
      <c r="B437" s="44"/>
      <c r="D437" s="44"/>
      <c r="E437" s="94"/>
      <c r="F437" s="94"/>
      <c r="G437" s="94"/>
      <c r="H437" s="94"/>
      <c r="I437" s="94"/>
      <c r="J437" s="94"/>
      <c r="K437" s="94"/>
      <c r="L437" s="94"/>
      <c r="M437" s="94"/>
      <c r="N437" s="94"/>
      <c r="O437" s="94"/>
      <c r="P437" s="94"/>
      <c r="Q437" s="94"/>
      <c r="R437" s="94"/>
      <c r="S437" s="94"/>
      <c r="T437" s="94"/>
      <c r="U437" s="94"/>
      <c r="V437" s="94"/>
      <c r="W437" s="94"/>
      <c r="X437" s="94"/>
      <c r="Y437" s="94"/>
    </row>
    <row r="438">
      <c r="A438" s="1"/>
      <c r="B438" s="44"/>
      <c r="D438" s="44"/>
      <c r="E438" s="94"/>
      <c r="F438" s="94"/>
      <c r="G438" s="94"/>
      <c r="H438" s="94"/>
      <c r="I438" s="94"/>
      <c r="J438" s="94"/>
      <c r="K438" s="94"/>
      <c r="L438" s="94"/>
      <c r="M438" s="94"/>
      <c r="N438" s="94"/>
      <c r="O438" s="94"/>
      <c r="P438" s="94"/>
      <c r="Q438" s="94"/>
      <c r="R438" s="94"/>
      <c r="S438" s="94"/>
      <c r="T438" s="94"/>
      <c r="U438" s="94"/>
      <c r="V438" s="94"/>
      <c r="W438" s="94"/>
      <c r="X438" s="94"/>
      <c r="Y438" s="94"/>
    </row>
    <row r="439">
      <c r="A439" s="1"/>
      <c r="B439" s="44"/>
      <c r="D439" s="44"/>
      <c r="E439" s="94"/>
      <c r="F439" s="94"/>
      <c r="G439" s="94"/>
      <c r="H439" s="94"/>
      <c r="I439" s="94"/>
      <c r="J439" s="94"/>
      <c r="K439" s="94"/>
      <c r="L439" s="94"/>
      <c r="M439" s="94"/>
      <c r="N439" s="94"/>
      <c r="O439" s="94"/>
      <c r="P439" s="94"/>
      <c r="Q439" s="94"/>
      <c r="R439" s="94"/>
      <c r="S439" s="94"/>
      <c r="T439" s="94"/>
      <c r="U439" s="94"/>
      <c r="V439" s="94"/>
      <c r="W439" s="94"/>
      <c r="X439" s="94"/>
      <c r="Y439" s="94"/>
    </row>
    <row r="440">
      <c r="A440" s="1"/>
      <c r="B440" s="44"/>
      <c r="D440" s="44"/>
      <c r="E440" s="94"/>
      <c r="F440" s="94"/>
      <c r="G440" s="94"/>
      <c r="H440" s="94"/>
      <c r="I440" s="94"/>
      <c r="J440" s="94"/>
      <c r="K440" s="94"/>
      <c r="L440" s="94"/>
      <c r="M440" s="94"/>
      <c r="N440" s="94"/>
      <c r="O440" s="94"/>
      <c r="P440" s="94"/>
      <c r="Q440" s="94"/>
      <c r="R440" s="94"/>
      <c r="S440" s="94"/>
      <c r="T440" s="94"/>
      <c r="U440" s="94"/>
      <c r="V440" s="94"/>
      <c r="W440" s="94"/>
      <c r="X440" s="94"/>
      <c r="Y440" s="94"/>
    </row>
    <row r="441">
      <c r="A441" s="1"/>
      <c r="B441" s="44"/>
      <c r="D441" s="44"/>
      <c r="E441" s="94"/>
      <c r="F441" s="94"/>
      <c r="G441" s="94"/>
      <c r="H441" s="94"/>
      <c r="I441" s="94"/>
      <c r="J441" s="94"/>
      <c r="K441" s="94"/>
      <c r="L441" s="94"/>
      <c r="M441" s="94"/>
      <c r="N441" s="94"/>
      <c r="O441" s="94"/>
      <c r="P441" s="94"/>
      <c r="Q441" s="94"/>
      <c r="R441" s="94"/>
      <c r="S441" s="94"/>
      <c r="T441" s="94"/>
      <c r="U441" s="94"/>
      <c r="V441" s="94"/>
      <c r="W441" s="94"/>
      <c r="X441" s="94"/>
      <c r="Y441" s="94"/>
    </row>
    <row r="442">
      <c r="A442" s="1"/>
      <c r="B442" s="44"/>
      <c r="D442" s="44"/>
      <c r="E442" s="94"/>
      <c r="F442" s="94"/>
      <c r="G442" s="94"/>
      <c r="H442" s="94"/>
      <c r="I442" s="94"/>
      <c r="J442" s="94"/>
      <c r="K442" s="94"/>
      <c r="L442" s="94"/>
      <c r="M442" s="94"/>
      <c r="N442" s="94"/>
      <c r="O442" s="94"/>
      <c r="P442" s="94"/>
      <c r="Q442" s="94"/>
      <c r="R442" s="94"/>
      <c r="S442" s="94"/>
      <c r="T442" s="94"/>
      <c r="U442" s="94"/>
      <c r="V442" s="94"/>
      <c r="W442" s="94"/>
      <c r="X442" s="94"/>
      <c r="Y442" s="94"/>
    </row>
    <row r="443">
      <c r="A443" s="1"/>
      <c r="B443" s="44"/>
      <c r="D443" s="44"/>
      <c r="E443" s="94"/>
      <c r="F443" s="94"/>
      <c r="G443" s="94"/>
      <c r="H443" s="94"/>
      <c r="I443" s="94"/>
      <c r="J443" s="94"/>
      <c r="K443" s="94"/>
      <c r="L443" s="94"/>
      <c r="M443" s="94"/>
      <c r="N443" s="94"/>
      <c r="O443" s="94"/>
      <c r="P443" s="94"/>
      <c r="Q443" s="94"/>
      <c r="R443" s="94"/>
      <c r="S443" s="94"/>
      <c r="T443" s="94"/>
      <c r="U443" s="94"/>
      <c r="V443" s="94"/>
      <c r="W443" s="94"/>
      <c r="X443" s="94"/>
      <c r="Y443" s="94"/>
    </row>
    <row r="444">
      <c r="A444" s="1"/>
      <c r="B444" s="44"/>
      <c r="D444" s="44"/>
      <c r="E444" s="94"/>
      <c r="F444" s="94"/>
      <c r="G444" s="94"/>
      <c r="H444" s="94"/>
      <c r="I444" s="94"/>
      <c r="J444" s="94"/>
      <c r="K444" s="94"/>
      <c r="L444" s="94"/>
      <c r="M444" s="94"/>
      <c r="N444" s="94"/>
      <c r="O444" s="94"/>
      <c r="P444" s="94"/>
      <c r="Q444" s="94"/>
      <c r="R444" s="94"/>
      <c r="S444" s="94"/>
      <c r="T444" s="94"/>
      <c r="U444" s="94"/>
      <c r="V444" s="94"/>
      <c r="W444" s="94"/>
      <c r="X444" s="94"/>
      <c r="Y444" s="94"/>
    </row>
    <row r="445">
      <c r="A445" s="1"/>
      <c r="B445" s="44"/>
      <c r="D445" s="44"/>
      <c r="E445" s="94"/>
      <c r="F445" s="94"/>
      <c r="G445" s="94"/>
      <c r="H445" s="94"/>
      <c r="I445" s="94"/>
      <c r="J445" s="94"/>
      <c r="K445" s="94"/>
      <c r="L445" s="94"/>
      <c r="M445" s="94"/>
      <c r="N445" s="94"/>
      <c r="O445" s="94"/>
      <c r="P445" s="94"/>
      <c r="Q445" s="94"/>
      <c r="R445" s="94"/>
      <c r="S445" s="94"/>
      <c r="T445" s="94"/>
      <c r="U445" s="94"/>
      <c r="V445" s="94"/>
      <c r="W445" s="94"/>
      <c r="X445" s="94"/>
      <c r="Y445" s="94"/>
    </row>
    <row r="446">
      <c r="A446" s="1"/>
      <c r="B446" s="44"/>
      <c r="D446" s="44"/>
      <c r="E446" s="94"/>
      <c r="F446" s="94"/>
      <c r="G446" s="94"/>
      <c r="H446" s="94"/>
      <c r="I446" s="94"/>
      <c r="J446" s="94"/>
      <c r="K446" s="94"/>
      <c r="L446" s="94"/>
      <c r="M446" s="94"/>
      <c r="N446" s="94"/>
      <c r="O446" s="94"/>
      <c r="P446" s="94"/>
      <c r="Q446" s="94"/>
      <c r="R446" s="94"/>
      <c r="S446" s="94"/>
      <c r="T446" s="94"/>
      <c r="U446" s="94"/>
      <c r="V446" s="94"/>
      <c r="W446" s="94"/>
      <c r="X446" s="94"/>
      <c r="Y446" s="94"/>
    </row>
    <row r="447">
      <c r="A447" s="1"/>
      <c r="B447" s="44"/>
      <c r="D447" s="44"/>
      <c r="E447" s="94"/>
      <c r="F447" s="94"/>
      <c r="G447" s="94"/>
      <c r="H447" s="94"/>
      <c r="I447" s="94"/>
      <c r="J447" s="94"/>
      <c r="K447" s="94"/>
      <c r="L447" s="94"/>
      <c r="M447" s="94"/>
      <c r="N447" s="94"/>
      <c r="O447" s="94"/>
      <c r="P447" s="94"/>
      <c r="Q447" s="94"/>
      <c r="R447" s="94"/>
      <c r="S447" s="94"/>
      <c r="T447" s="94"/>
      <c r="U447" s="94"/>
      <c r="V447" s="94"/>
      <c r="W447" s="94"/>
      <c r="X447" s="94"/>
      <c r="Y447" s="94"/>
    </row>
    <row r="448">
      <c r="A448" s="1"/>
      <c r="B448" s="44"/>
      <c r="D448" s="44"/>
      <c r="E448" s="94"/>
      <c r="F448" s="94"/>
      <c r="G448" s="94"/>
      <c r="H448" s="94"/>
      <c r="I448" s="94"/>
      <c r="J448" s="94"/>
      <c r="K448" s="94"/>
      <c r="L448" s="94"/>
      <c r="M448" s="94"/>
      <c r="N448" s="94"/>
      <c r="O448" s="94"/>
      <c r="P448" s="94"/>
      <c r="Q448" s="94"/>
      <c r="R448" s="94"/>
      <c r="S448" s="94"/>
      <c r="T448" s="94"/>
      <c r="U448" s="94"/>
      <c r="V448" s="94"/>
      <c r="W448" s="94"/>
      <c r="X448" s="94"/>
      <c r="Y448" s="94"/>
    </row>
    <row r="449">
      <c r="A449" s="1"/>
      <c r="B449" s="44"/>
      <c r="D449" s="44"/>
      <c r="E449" s="94"/>
      <c r="F449" s="94"/>
      <c r="G449" s="94"/>
      <c r="H449" s="94"/>
      <c r="I449" s="94"/>
      <c r="J449" s="94"/>
      <c r="K449" s="94"/>
      <c r="L449" s="94"/>
      <c r="M449" s="94"/>
      <c r="N449" s="94"/>
      <c r="O449" s="94"/>
      <c r="P449" s="94"/>
      <c r="Q449" s="94"/>
      <c r="R449" s="94"/>
      <c r="S449" s="94"/>
      <c r="T449" s="94"/>
      <c r="U449" s="94"/>
      <c r="V449" s="94"/>
      <c r="W449" s="94"/>
      <c r="X449" s="94"/>
      <c r="Y449" s="94"/>
    </row>
    <row r="450">
      <c r="A450" s="1"/>
      <c r="B450" s="44"/>
      <c r="D450" s="44"/>
      <c r="E450" s="94"/>
      <c r="F450" s="94"/>
      <c r="G450" s="94"/>
      <c r="H450" s="94"/>
      <c r="I450" s="94"/>
      <c r="J450" s="94"/>
      <c r="K450" s="94"/>
      <c r="L450" s="94"/>
      <c r="M450" s="94"/>
      <c r="N450" s="94"/>
      <c r="O450" s="94"/>
      <c r="P450" s="94"/>
      <c r="Q450" s="94"/>
      <c r="R450" s="94"/>
      <c r="S450" s="94"/>
      <c r="T450" s="94"/>
      <c r="U450" s="94"/>
      <c r="V450" s="94"/>
      <c r="W450" s="94"/>
      <c r="X450" s="94"/>
      <c r="Y450" s="94"/>
    </row>
    <row r="451">
      <c r="A451" s="1"/>
      <c r="B451" s="44"/>
      <c r="D451" s="44"/>
      <c r="E451" s="94"/>
      <c r="F451" s="94"/>
      <c r="G451" s="94"/>
      <c r="H451" s="94"/>
      <c r="I451" s="94"/>
      <c r="J451" s="94"/>
      <c r="K451" s="94"/>
      <c r="L451" s="94"/>
      <c r="M451" s="94"/>
      <c r="N451" s="94"/>
      <c r="O451" s="94"/>
      <c r="P451" s="94"/>
      <c r="Q451" s="94"/>
      <c r="R451" s="94"/>
      <c r="S451" s="94"/>
      <c r="T451" s="94"/>
      <c r="U451" s="94"/>
      <c r="V451" s="94"/>
      <c r="W451" s="94"/>
      <c r="X451" s="94"/>
      <c r="Y451" s="94"/>
    </row>
    <row r="452">
      <c r="A452" s="1"/>
      <c r="B452" s="44"/>
      <c r="D452" s="44"/>
      <c r="E452" s="94"/>
      <c r="F452" s="94"/>
      <c r="G452" s="94"/>
      <c r="H452" s="94"/>
      <c r="I452" s="94"/>
      <c r="J452" s="94"/>
      <c r="K452" s="94"/>
      <c r="L452" s="94"/>
      <c r="M452" s="94"/>
      <c r="N452" s="94"/>
      <c r="O452" s="94"/>
      <c r="P452" s="94"/>
      <c r="Q452" s="94"/>
      <c r="R452" s="94"/>
      <c r="S452" s="94"/>
      <c r="T452" s="94"/>
      <c r="U452" s="94"/>
      <c r="V452" s="94"/>
      <c r="W452" s="94"/>
      <c r="X452" s="94"/>
      <c r="Y452" s="94"/>
    </row>
    <row r="453">
      <c r="A453" s="1"/>
      <c r="B453" s="44"/>
      <c r="D453" s="44"/>
      <c r="E453" s="94"/>
      <c r="F453" s="94"/>
      <c r="G453" s="94"/>
      <c r="H453" s="94"/>
      <c r="I453" s="94"/>
      <c r="J453" s="94"/>
      <c r="K453" s="94"/>
      <c r="L453" s="94"/>
      <c r="M453" s="94"/>
      <c r="N453" s="94"/>
      <c r="O453" s="94"/>
      <c r="P453" s="94"/>
      <c r="Q453" s="94"/>
      <c r="R453" s="94"/>
      <c r="S453" s="94"/>
      <c r="T453" s="94"/>
      <c r="U453" s="94"/>
      <c r="V453" s="94"/>
      <c r="W453" s="94"/>
      <c r="X453" s="94"/>
      <c r="Y453" s="94"/>
    </row>
    <row r="454">
      <c r="A454" s="1"/>
      <c r="B454" s="44"/>
      <c r="D454" s="44"/>
      <c r="E454" s="94"/>
      <c r="F454" s="94"/>
      <c r="G454" s="94"/>
      <c r="H454" s="94"/>
      <c r="I454" s="94"/>
      <c r="J454" s="94"/>
      <c r="K454" s="94"/>
      <c r="L454" s="94"/>
      <c r="M454" s="94"/>
      <c r="N454" s="94"/>
      <c r="O454" s="94"/>
      <c r="P454" s="94"/>
      <c r="Q454" s="94"/>
      <c r="R454" s="94"/>
      <c r="S454" s="94"/>
      <c r="T454" s="94"/>
      <c r="U454" s="94"/>
      <c r="V454" s="94"/>
      <c r="W454" s="94"/>
      <c r="X454" s="94"/>
      <c r="Y454" s="94"/>
    </row>
    <row r="455">
      <c r="A455" s="1"/>
      <c r="B455" s="44"/>
      <c r="D455" s="44"/>
      <c r="E455" s="94"/>
      <c r="F455" s="94"/>
      <c r="G455" s="94"/>
      <c r="H455" s="94"/>
      <c r="I455" s="94"/>
      <c r="J455" s="94"/>
      <c r="K455" s="94"/>
      <c r="L455" s="94"/>
      <c r="M455" s="94"/>
      <c r="N455" s="94"/>
      <c r="O455" s="94"/>
      <c r="P455" s="94"/>
      <c r="Q455" s="94"/>
      <c r="R455" s="94"/>
      <c r="S455" s="94"/>
      <c r="T455" s="94"/>
      <c r="U455" s="94"/>
      <c r="V455" s="94"/>
      <c r="W455" s="94"/>
      <c r="X455" s="94"/>
      <c r="Y455" s="94"/>
    </row>
    <row r="456">
      <c r="A456" s="1"/>
      <c r="B456" s="44"/>
      <c r="D456" s="44"/>
      <c r="E456" s="94"/>
      <c r="F456" s="94"/>
      <c r="G456" s="94"/>
      <c r="H456" s="94"/>
      <c r="I456" s="94"/>
      <c r="J456" s="94"/>
      <c r="K456" s="94"/>
      <c r="L456" s="94"/>
      <c r="M456" s="94"/>
      <c r="N456" s="94"/>
      <c r="O456" s="94"/>
      <c r="P456" s="94"/>
      <c r="Q456" s="94"/>
      <c r="R456" s="94"/>
      <c r="S456" s="94"/>
      <c r="T456" s="94"/>
      <c r="U456" s="94"/>
      <c r="V456" s="94"/>
      <c r="W456" s="94"/>
      <c r="X456" s="94"/>
      <c r="Y456" s="94"/>
    </row>
    <row r="457">
      <c r="A457" s="1"/>
      <c r="B457" s="44"/>
      <c r="D457" s="44"/>
      <c r="E457" s="94"/>
      <c r="F457" s="94"/>
      <c r="G457" s="94"/>
      <c r="H457" s="94"/>
      <c r="I457" s="94"/>
      <c r="J457" s="94"/>
      <c r="K457" s="94"/>
      <c r="L457" s="94"/>
      <c r="M457" s="94"/>
      <c r="N457" s="94"/>
      <c r="O457" s="94"/>
      <c r="P457" s="94"/>
      <c r="Q457" s="94"/>
      <c r="R457" s="94"/>
      <c r="S457" s="94"/>
      <c r="T457" s="94"/>
      <c r="U457" s="94"/>
      <c r="V457" s="94"/>
      <c r="W457" s="94"/>
      <c r="X457" s="94"/>
      <c r="Y457" s="94"/>
    </row>
    <row r="458">
      <c r="A458" s="1"/>
      <c r="B458" s="44"/>
      <c r="D458" s="44"/>
      <c r="E458" s="94"/>
      <c r="F458" s="94"/>
      <c r="G458" s="94"/>
      <c r="H458" s="94"/>
      <c r="I458" s="94"/>
      <c r="J458" s="94"/>
      <c r="K458" s="94"/>
      <c r="L458" s="94"/>
      <c r="M458" s="94"/>
      <c r="N458" s="94"/>
      <c r="O458" s="94"/>
      <c r="P458" s="94"/>
      <c r="Q458" s="94"/>
      <c r="R458" s="94"/>
      <c r="S458" s="94"/>
      <c r="T458" s="94"/>
      <c r="U458" s="94"/>
      <c r="V458" s="94"/>
      <c r="W458" s="94"/>
      <c r="X458" s="94"/>
      <c r="Y458" s="94"/>
    </row>
    <row r="459">
      <c r="A459" s="1"/>
      <c r="B459" s="44"/>
      <c r="D459" s="44"/>
      <c r="E459" s="94"/>
      <c r="F459" s="94"/>
      <c r="G459" s="94"/>
      <c r="H459" s="94"/>
      <c r="I459" s="94"/>
      <c r="J459" s="94"/>
      <c r="K459" s="94"/>
      <c r="L459" s="94"/>
      <c r="M459" s="94"/>
      <c r="N459" s="94"/>
      <c r="O459" s="94"/>
      <c r="P459" s="94"/>
      <c r="Q459" s="94"/>
      <c r="R459" s="94"/>
      <c r="S459" s="94"/>
      <c r="T459" s="94"/>
      <c r="U459" s="94"/>
      <c r="V459" s="94"/>
      <c r="W459" s="94"/>
      <c r="X459" s="94"/>
      <c r="Y459" s="94"/>
    </row>
    <row r="460">
      <c r="A460" s="1"/>
      <c r="B460" s="44"/>
      <c r="D460" s="44"/>
      <c r="E460" s="94"/>
      <c r="F460" s="94"/>
      <c r="G460" s="94"/>
      <c r="H460" s="94"/>
      <c r="I460" s="94"/>
      <c r="J460" s="94"/>
      <c r="K460" s="94"/>
      <c r="L460" s="94"/>
      <c r="M460" s="94"/>
      <c r="N460" s="94"/>
      <c r="O460" s="94"/>
      <c r="P460" s="94"/>
      <c r="Q460" s="94"/>
      <c r="R460" s="94"/>
      <c r="S460" s="94"/>
      <c r="T460" s="94"/>
      <c r="U460" s="94"/>
      <c r="V460" s="94"/>
      <c r="W460" s="94"/>
      <c r="X460" s="94"/>
      <c r="Y460" s="94"/>
    </row>
    <row r="461">
      <c r="A461" s="1"/>
      <c r="B461" s="44"/>
      <c r="D461" s="44"/>
      <c r="E461" s="94"/>
      <c r="F461" s="94"/>
      <c r="G461" s="94"/>
      <c r="H461" s="94"/>
      <c r="I461" s="94"/>
      <c r="J461" s="94"/>
      <c r="K461" s="94"/>
      <c r="L461" s="94"/>
      <c r="M461" s="94"/>
      <c r="N461" s="94"/>
      <c r="O461" s="94"/>
      <c r="P461" s="94"/>
      <c r="Q461" s="94"/>
      <c r="R461" s="94"/>
      <c r="S461" s="94"/>
      <c r="T461" s="94"/>
      <c r="U461" s="94"/>
      <c r="V461" s="94"/>
      <c r="W461" s="94"/>
      <c r="X461" s="94"/>
      <c r="Y461" s="94"/>
    </row>
    <row r="462">
      <c r="A462" s="1"/>
      <c r="B462" s="44"/>
      <c r="D462" s="44"/>
      <c r="E462" s="94"/>
      <c r="F462" s="94"/>
      <c r="G462" s="94"/>
      <c r="H462" s="94"/>
      <c r="I462" s="94"/>
      <c r="J462" s="94"/>
      <c r="K462" s="94"/>
      <c r="L462" s="94"/>
      <c r="M462" s="94"/>
      <c r="N462" s="94"/>
      <c r="O462" s="94"/>
      <c r="P462" s="94"/>
      <c r="Q462" s="94"/>
      <c r="R462" s="94"/>
      <c r="S462" s="94"/>
      <c r="T462" s="94"/>
      <c r="U462" s="94"/>
      <c r="V462" s="94"/>
      <c r="W462" s="94"/>
      <c r="X462" s="94"/>
      <c r="Y462" s="94"/>
    </row>
    <row r="463">
      <c r="A463" s="1"/>
      <c r="B463" s="44"/>
      <c r="D463" s="44"/>
      <c r="E463" s="94"/>
      <c r="F463" s="94"/>
      <c r="G463" s="94"/>
      <c r="H463" s="94"/>
      <c r="I463" s="94"/>
      <c r="J463" s="94"/>
      <c r="K463" s="94"/>
      <c r="L463" s="94"/>
      <c r="M463" s="94"/>
      <c r="N463" s="94"/>
      <c r="O463" s="94"/>
      <c r="P463" s="94"/>
      <c r="Q463" s="94"/>
      <c r="R463" s="94"/>
      <c r="S463" s="94"/>
      <c r="T463" s="94"/>
      <c r="U463" s="94"/>
      <c r="V463" s="94"/>
      <c r="W463" s="94"/>
      <c r="X463" s="94"/>
      <c r="Y463" s="94"/>
    </row>
    <row r="464">
      <c r="A464" s="1"/>
      <c r="B464" s="44"/>
      <c r="D464" s="44"/>
      <c r="E464" s="94"/>
      <c r="F464" s="94"/>
      <c r="G464" s="94"/>
      <c r="H464" s="94"/>
      <c r="I464" s="94"/>
      <c r="J464" s="94"/>
      <c r="K464" s="94"/>
      <c r="L464" s="94"/>
      <c r="M464" s="94"/>
      <c r="N464" s="94"/>
      <c r="O464" s="94"/>
      <c r="P464" s="94"/>
      <c r="Q464" s="94"/>
      <c r="R464" s="94"/>
      <c r="S464" s="94"/>
      <c r="T464" s="94"/>
      <c r="U464" s="94"/>
      <c r="V464" s="94"/>
      <c r="W464" s="94"/>
      <c r="X464" s="94"/>
      <c r="Y464" s="94"/>
    </row>
    <row r="465">
      <c r="A465" s="1"/>
      <c r="B465" s="44"/>
      <c r="D465" s="44"/>
      <c r="E465" s="94"/>
      <c r="F465" s="94"/>
      <c r="G465" s="94"/>
      <c r="H465" s="94"/>
      <c r="I465" s="94"/>
      <c r="J465" s="94"/>
      <c r="K465" s="94"/>
      <c r="L465" s="94"/>
      <c r="M465" s="94"/>
      <c r="N465" s="94"/>
      <c r="O465" s="94"/>
      <c r="P465" s="94"/>
      <c r="Q465" s="94"/>
      <c r="R465" s="94"/>
      <c r="S465" s="94"/>
      <c r="T465" s="94"/>
      <c r="U465" s="94"/>
      <c r="V465" s="94"/>
      <c r="W465" s="94"/>
      <c r="X465" s="94"/>
      <c r="Y465" s="94"/>
    </row>
    <row r="466">
      <c r="A466" s="1"/>
      <c r="B466" s="44"/>
      <c r="D466" s="44"/>
      <c r="E466" s="94"/>
      <c r="F466" s="94"/>
      <c r="G466" s="94"/>
      <c r="H466" s="94"/>
      <c r="I466" s="94"/>
      <c r="J466" s="94"/>
      <c r="K466" s="94"/>
      <c r="L466" s="94"/>
      <c r="M466" s="94"/>
      <c r="N466" s="94"/>
      <c r="O466" s="94"/>
      <c r="P466" s="94"/>
      <c r="Q466" s="94"/>
      <c r="R466" s="94"/>
      <c r="S466" s="94"/>
      <c r="T466" s="94"/>
      <c r="U466" s="94"/>
      <c r="V466" s="94"/>
      <c r="W466" s="94"/>
      <c r="X466" s="94"/>
      <c r="Y466" s="94"/>
    </row>
    <row r="467">
      <c r="A467" s="1"/>
      <c r="B467" s="44"/>
      <c r="D467" s="44"/>
      <c r="E467" s="94"/>
      <c r="F467" s="94"/>
      <c r="G467" s="94"/>
      <c r="H467" s="94"/>
      <c r="I467" s="94"/>
      <c r="J467" s="94"/>
      <c r="K467" s="94"/>
      <c r="L467" s="94"/>
      <c r="M467" s="94"/>
      <c r="N467" s="94"/>
      <c r="O467" s="94"/>
      <c r="P467" s="94"/>
      <c r="Q467" s="94"/>
      <c r="R467" s="94"/>
      <c r="S467" s="94"/>
      <c r="T467" s="94"/>
      <c r="U467" s="94"/>
      <c r="V467" s="94"/>
      <c r="W467" s="94"/>
      <c r="X467" s="94"/>
      <c r="Y467" s="94"/>
    </row>
    <row r="468">
      <c r="A468" s="1"/>
      <c r="B468" s="44"/>
      <c r="D468" s="44"/>
      <c r="E468" s="94"/>
      <c r="F468" s="94"/>
      <c r="G468" s="94"/>
      <c r="H468" s="94"/>
      <c r="I468" s="94"/>
      <c r="J468" s="94"/>
      <c r="K468" s="94"/>
      <c r="L468" s="94"/>
      <c r="M468" s="94"/>
      <c r="N468" s="94"/>
      <c r="O468" s="94"/>
      <c r="P468" s="94"/>
      <c r="Q468" s="94"/>
      <c r="R468" s="94"/>
      <c r="S468" s="94"/>
      <c r="T468" s="94"/>
      <c r="U468" s="94"/>
      <c r="V468" s="94"/>
      <c r="W468" s="94"/>
      <c r="X468" s="94"/>
      <c r="Y468" s="94"/>
    </row>
    <row r="469">
      <c r="A469" s="1"/>
      <c r="B469" s="44"/>
      <c r="D469" s="44"/>
      <c r="E469" s="94"/>
      <c r="F469" s="94"/>
      <c r="G469" s="94"/>
      <c r="H469" s="94"/>
      <c r="I469" s="94"/>
      <c r="J469" s="94"/>
      <c r="K469" s="94"/>
      <c r="L469" s="94"/>
      <c r="M469" s="94"/>
      <c r="N469" s="94"/>
      <c r="O469" s="94"/>
      <c r="P469" s="94"/>
      <c r="Q469" s="94"/>
      <c r="R469" s="94"/>
      <c r="S469" s="94"/>
      <c r="T469" s="94"/>
      <c r="U469" s="94"/>
      <c r="V469" s="94"/>
      <c r="W469" s="94"/>
      <c r="X469" s="94"/>
      <c r="Y469" s="94"/>
    </row>
    <row r="470">
      <c r="A470" s="1"/>
      <c r="B470" s="44"/>
      <c r="D470" s="44"/>
      <c r="E470" s="94"/>
      <c r="F470" s="94"/>
      <c r="G470" s="94"/>
      <c r="H470" s="94"/>
      <c r="I470" s="94"/>
      <c r="J470" s="94"/>
      <c r="K470" s="94"/>
      <c r="L470" s="94"/>
      <c r="M470" s="94"/>
      <c r="N470" s="94"/>
      <c r="O470" s="94"/>
      <c r="P470" s="94"/>
      <c r="Q470" s="94"/>
      <c r="R470" s="94"/>
      <c r="S470" s="94"/>
      <c r="T470" s="94"/>
      <c r="U470" s="94"/>
      <c r="V470" s="94"/>
      <c r="W470" s="94"/>
      <c r="X470" s="94"/>
      <c r="Y470" s="94"/>
    </row>
    <row r="471">
      <c r="A471" s="1"/>
      <c r="B471" s="44"/>
      <c r="D471" s="44"/>
      <c r="E471" s="94"/>
      <c r="F471" s="94"/>
      <c r="G471" s="94"/>
      <c r="H471" s="94"/>
      <c r="I471" s="94"/>
      <c r="J471" s="94"/>
      <c r="K471" s="94"/>
      <c r="L471" s="94"/>
      <c r="M471" s="94"/>
      <c r="N471" s="94"/>
      <c r="O471" s="94"/>
      <c r="P471" s="94"/>
      <c r="Q471" s="94"/>
      <c r="R471" s="94"/>
      <c r="S471" s="94"/>
      <c r="T471" s="94"/>
      <c r="U471" s="94"/>
      <c r="V471" s="94"/>
      <c r="W471" s="94"/>
      <c r="X471" s="94"/>
      <c r="Y471" s="94"/>
    </row>
    <row r="472">
      <c r="A472" s="1"/>
      <c r="B472" s="44"/>
      <c r="D472" s="44"/>
      <c r="E472" s="94"/>
      <c r="F472" s="94"/>
      <c r="G472" s="94"/>
      <c r="H472" s="94"/>
      <c r="I472" s="94"/>
      <c r="J472" s="94"/>
      <c r="K472" s="94"/>
      <c r="L472" s="94"/>
      <c r="M472" s="94"/>
      <c r="N472" s="94"/>
      <c r="O472" s="94"/>
      <c r="P472" s="94"/>
      <c r="Q472" s="94"/>
      <c r="R472" s="94"/>
      <c r="S472" s="94"/>
      <c r="T472" s="94"/>
      <c r="U472" s="94"/>
      <c r="V472" s="94"/>
      <c r="W472" s="94"/>
      <c r="X472" s="94"/>
      <c r="Y472" s="94"/>
    </row>
    <row r="473">
      <c r="A473" s="1"/>
      <c r="B473" s="44"/>
      <c r="D473" s="44"/>
      <c r="E473" s="94"/>
      <c r="F473" s="94"/>
      <c r="G473" s="94"/>
      <c r="H473" s="94"/>
      <c r="I473" s="94"/>
      <c r="J473" s="94"/>
      <c r="K473" s="94"/>
      <c r="L473" s="94"/>
      <c r="M473" s="94"/>
      <c r="N473" s="94"/>
      <c r="O473" s="94"/>
      <c r="P473" s="94"/>
      <c r="Q473" s="94"/>
      <c r="R473" s="94"/>
      <c r="S473" s="94"/>
      <c r="T473" s="94"/>
      <c r="U473" s="94"/>
      <c r="V473" s="94"/>
      <c r="W473" s="94"/>
      <c r="X473" s="94"/>
      <c r="Y473" s="94"/>
    </row>
    <row r="474">
      <c r="A474" s="1"/>
      <c r="B474" s="44"/>
      <c r="D474" s="44"/>
      <c r="E474" s="94"/>
      <c r="F474" s="94"/>
      <c r="G474" s="94"/>
      <c r="H474" s="94"/>
      <c r="I474" s="94"/>
      <c r="J474" s="94"/>
      <c r="K474" s="94"/>
      <c r="L474" s="94"/>
      <c r="M474" s="94"/>
      <c r="N474" s="94"/>
      <c r="O474" s="94"/>
      <c r="P474" s="94"/>
      <c r="Q474" s="94"/>
      <c r="R474" s="94"/>
      <c r="S474" s="94"/>
      <c r="T474" s="94"/>
      <c r="U474" s="94"/>
      <c r="V474" s="94"/>
      <c r="W474" s="94"/>
      <c r="X474" s="94"/>
      <c r="Y474" s="94"/>
    </row>
    <row r="475">
      <c r="A475" s="1"/>
      <c r="B475" s="44"/>
      <c r="D475" s="44"/>
      <c r="E475" s="94"/>
      <c r="F475" s="94"/>
      <c r="G475" s="94"/>
      <c r="H475" s="94"/>
      <c r="I475" s="94"/>
      <c r="J475" s="94"/>
      <c r="K475" s="94"/>
      <c r="L475" s="94"/>
      <c r="M475" s="94"/>
      <c r="N475" s="94"/>
      <c r="O475" s="94"/>
      <c r="P475" s="94"/>
      <c r="Q475" s="94"/>
      <c r="R475" s="94"/>
      <c r="S475" s="94"/>
      <c r="T475" s="94"/>
      <c r="U475" s="94"/>
      <c r="V475" s="94"/>
      <c r="W475" s="94"/>
      <c r="X475" s="94"/>
      <c r="Y475" s="94"/>
    </row>
    <row r="476">
      <c r="A476" s="1"/>
      <c r="B476" s="44"/>
      <c r="D476" s="44"/>
      <c r="E476" s="94"/>
      <c r="F476" s="94"/>
      <c r="G476" s="94"/>
      <c r="H476" s="94"/>
      <c r="I476" s="94"/>
      <c r="J476" s="94"/>
      <c r="K476" s="94"/>
      <c r="L476" s="94"/>
      <c r="M476" s="94"/>
      <c r="N476" s="94"/>
      <c r="O476" s="94"/>
      <c r="P476" s="94"/>
      <c r="Q476" s="94"/>
      <c r="R476" s="94"/>
      <c r="S476" s="94"/>
      <c r="T476" s="94"/>
      <c r="U476" s="94"/>
      <c r="V476" s="94"/>
      <c r="W476" s="94"/>
      <c r="X476" s="94"/>
      <c r="Y476" s="94"/>
    </row>
    <row r="477">
      <c r="A477" s="1"/>
      <c r="B477" s="44"/>
      <c r="D477" s="44"/>
      <c r="E477" s="94"/>
      <c r="F477" s="94"/>
      <c r="G477" s="94"/>
      <c r="H477" s="94"/>
      <c r="I477" s="94"/>
      <c r="J477" s="94"/>
      <c r="K477" s="94"/>
      <c r="L477" s="94"/>
      <c r="M477" s="94"/>
      <c r="N477" s="94"/>
      <c r="O477" s="94"/>
      <c r="P477" s="94"/>
      <c r="Q477" s="94"/>
      <c r="R477" s="94"/>
      <c r="S477" s="94"/>
      <c r="T477" s="94"/>
      <c r="U477" s="94"/>
      <c r="V477" s="94"/>
      <c r="W477" s="94"/>
      <c r="X477" s="94"/>
      <c r="Y477" s="94"/>
    </row>
    <row r="478">
      <c r="A478" s="1"/>
      <c r="B478" s="44"/>
      <c r="D478" s="44"/>
      <c r="E478" s="94"/>
      <c r="F478" s="94"/>
      <c r="G478" s="94"/>
      <c r="H478" s="94"/>
      <c r="I478" s="94"/>
      <c r="J478" s="94"/>
      <c r="K478" s="94"/>
      <c r="L478" s="94"/>
      <c r="M478" s="94"/>
      <c r="N478" s="94"/>
      <c r="O478" s="94"/>
      <c r="P478" s="94"/>
      <c r="Q478" s="94"/>
      <c r="R478" s="94"/>
      <c r="S478" s="94"/>
      <c r="T478" s="94"/>
      <c r="U478" s="94"/>
      <c r="V478" s="94"/>
      <c r="W478" s="94"/>
      <c r="X478" s="94"/>
      <c r="Y478" s="94"/>
    </row>
    <row r="479">
      <c r="A479" s="1"/>
      <c r="B479" s="44"/>
      <c r="D479" s="44"/>
      <c r="E479" s="94"/>
      <c r="F479" s="94"/>
      <c r="G479" s="94"/>
      <c r="H479" s="94"/>
      <c r="I479" s="94"/>
      <c r="J479" s="94"/>
      <c r="K479" s="94"/>
      <c r="L479" s="94"/>
      <c r="M479" s="94"/>
      <c r="N479" s="94"/>
      <c r="O479" s="94"/>
      <c r="P479" s="94"/>
      <c r="Q479" s="94"/>
      <c r="R479" s="94"/>
      <c r="S479" s="94"/>
      <c r="T479" s="94"/>
      <c r="U479" s="94"/>
      <c r="V479" s="94"/>
      <c r="W479" s="94"/>
      <c r="X479" s="94"/>
      <c r="Y479" s="94"/>
    </row>
    <row r="480">
      <c r="A480" s="1"/>
      <c r="B480" s="44"/>
      <c r="D480" s="44"/>
      <c r="E480" s="94"/>
      <c r="F480" s="94"/>
      <c r="G480" s="94"/>
      <c r="H480" s="94"/>
      <c r="I480" s="94"/>
      <c r="J480" s="94"/>
      <c r="K480" s="94"/>
      <c r="L480" s="94"/>
      <c r="M480" s="94"/>
      <c r="N480" s="94"/>
      <c r="O480" s="94"/>
      <c r="P480" s="94"/>
      <c r="Q480" s="94"/>
      <c r="R480" s="94"/>
      <c r="S480" s="94"/>
      <c r="T480" s="94"/>
      <c r="U480" s="94"/>
      <c r="V480" s="94"/>
      <c r="W480" s="94"/>
      <c r="X480" s="94"/>
      <c r="Y480" s="94"/>
    </row>
    <row r="481">
      <c r="A481" s="1"/>
      <c r="B481" s="44"/>
      <c r="D481" s="44"/>
      <c r="E481" s="94"/>
      <c r="F481" s="94"/>
      <c r="G481" s="94"/>
      <c r="H481" s="94"/>
      <c r="I481" s="94"/>
      <c r="J481" s="94"/>
      <c r="K481" s="94"/>
      <c r="L481" s="94"/>
      <c r="M481" s="94"/>
      <c r="N481" s="94"/>
      <c r="O481" s="94"/>
      <c r="P481" s="94"/>
      <c r="Q481" s="94"/>
      <c r="R481" s="94"/>
      <c r="S481" s="94"/>
      <c r="T481" s="94"/>
      <c r="U481" s="94"/>
      <c r="V481" s="94"/>
      <c r="W481" s="94"/>
      <c r="X481" s="94"/>
      <c r="Y481" s="94"/>
    </row>
    <row r="482">
      <c r="A482" s="1"/>
      <c r="B482" s="44"/>
      <c r="D482" s="44"/>
      <c r="E482" s="94"/>
      <c r="F482" s="94"/>
      <c r="G482" s="94"/>
      <c r="H482" s="94"/>
      <c r="I482" s="94"/>
      <c r="J482" s="94"/>
      <c r="K482" s="94"/>
      <c r="L482" s="94"/>
      <c r="M482" s="94"/>
      <c r="N482" s="94"/>
      <c r="O482" s="94"/>
      <c r="P482" s="94"/>
      <c r="Q482" s="94"/>
      <c r="R482" s="94"/>
      <c r="S482" s="94"/>
      <c r="T482" s="94"/>
      <c r="U482" s="94"/>
      <c r="V482" s="94"/>
      <c r="W482" s="94"/>
      <c r="X482" s="94"/>
      <c r="Y482" s="94"/>
    </row>
    <row r="483">
      <c r="A483" s="1"/>
      <c r="B483" s="44"/>
      <c r="D483" s="44"/>
      <c r="E483" s="94"/>
      <c r="F483" s="94"/>
      <c r="G483" s="94"/>
      <c r="H483" s="94"/>
      <c r="I483" s="94"/>
      <c r="J483" s="94"/>
      <c r="K483" s="94"/>
      <c r="L483" s="94"/>
      <c r="M483" s="94"/>
      <c r="N483" s="94"/>
      <c r="O483" s="94"/>
      <c r="P483" s="94"/>
      <c r="Q483" s="94"/>
      <c r="R483" s="94"/>
      <c r="S483" s="94"/>
      <c r="T483" s="94"/>
      <c r="U483" s="94"/>
      <c r="V483" s="94"/>
      <c r="W483" s="94"/>
      <c r="X483" s="94"/>
      <c r="Y483" s="94"/>
    </row>
    <row r="484">
      <c r="A484" s="1"/>
      <c r="B484" s="44"/>
      <c r="D484" s="44"/>
      <c r="E484" s="94"/>
      <c r="F484" s="94"/>
      <c r="G484" s="94"/>
      <c r="H484" s="94"/>
      <c r="I484" s="94"/>
      <c r="J484" s="94"/>
      <c r="K484" s="94"/>
      <c r="L484" s="94"/>
      <c r="M484" s="94"/>
      <c r="N484" s="94"/>
      <c r="O484" s="94"/>
      <c r="P484" s="94"/>
      <c r="Q484" s="94"/>
      <c r="R484" s="94"/>
      <c r="S484" s="94"/>
      <c r="T484" s="94"/>
      <c r="U484" s="94"/>
      <c r="V484" s="94"/>
      <c r="W484" s="94"/>
      <c r="X484" s="94"/>
      <c r="Y484" s="94"/>
    </row>
    <row r="485">
      <c r="A485" s="1"/>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row>
    <row r="486">
      <c r="A486" s="1"/>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row>
    <row r="487">
      <c r="A487" s="1"/>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row>
    <row r="488">
      <c r="A488" s="1"/>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row>
    <row r="489">
      <c r="A489" s="1"/>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row>
    <row r="490">
      <c r="A490" s="1"/>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row>
    <row r="491">
      <c r="A491" s="1"/>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row>
    <row r="492">
      <c r="A492" s="1"/>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row>
    <row r="493">
      <c r="A493" s="1"/>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row>
    <row r="494">
      <c r="A494" s="1"/>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row>
    <row r="495">
      <c r="A495" s="1"/>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row>
    <row r="496">
      <c r="A496" s="1"/>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row>
    <row r="497">
      <c r="A497" s="1"/>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row>
    <row r="498">
      <c r="A498" s="1"/>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row>
    <row r="499">
      <c r="A499" s="1"/>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row>
    <row r="500">
      <c r="A500" s="1"/>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row>
    <row r="501">
      <c r="A501" s="1"/>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row>
    <row r="502">
      <c r="A502" s="1"/>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row>
    <row r="503">
      <c r="A503" s="1"/>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row>
    <row r="504">
      <c r="A504" s="1"/>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row>
    <row r="505">
      <c r="A505" s="1"/>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row>
    <row r="506">
      <c r="A506" s="1"/>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row>
    <row r="507">
      <c r="A507" s="1"/>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row>
    <row r="508">
      <c r="A508" s="1"/>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row>
    <row r="509">
      <c r="A509" s="1"/>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row>
    <row r="510">
      <c r="A510" s="1"/>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row>
    <row r="511">
      <c r="A511" s="1"/>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row>
    <row r="512">
      <c r="A512" s="1"/>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row>
    <row r="513">
      <c r="A513" s="1"/>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row>
    <row r="514">
      <c r="A514" s="1"/>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row>
    <row r="515">
      <c r="A515" s="1"/>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row>
    <row r="516">
      <c r="A516" s="1"/>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row>
    <row r="517">
      <c r="A517" s="1"/>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row>
    <row r="518">
      <c r="A518" s="1"/>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row>
    <row r="519">
      <c r="A519" s="1"/>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row>
    <row r="520">
      <c r="A520" s="1"/>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row>
    <row r="521">
      <c r="A521" s="1"/>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row>
    <row r="522">
      <c r="A522" s="1"/>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row>
    <row r="523">
      <c r="A523" s="1"/>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row>
    <row r="524">
      <c r="A524" s="1"/>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row>
    <row r="525">
      <c r="A525" s="1"/>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row>
    <row r="526">
      <c r="A526" s="1"/>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row>
    <row r="527">
      <c r="A527" s="1"/>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row>
    <row r="528">
      <c r="A528" s="1"/>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row>
    <row r="529">
      <c r="A529" s="1"/>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row>
    <row r="530">
      <c r="A530" s="1"/>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row>
    <row r="531">
      <c r="A531" s="1"/>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row>
    <row r="532">
      <c r="A532" s="1"/>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row>
    <row r="533">
      <c r="A533" s="1"/>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row>
    <row r="534">
      <c r="A534" s="1"/>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row>
    <row r="535">
      <c r="A535" s="1"/>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row>
    <row r="536">
      <c r="A536" s="1"/>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row>
    <row r="537">
      <c r="A537" s="1"/>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row>
    <row r="538">
      <c r="A538" s="1"/>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row>
    <row r="539">
      <c r="A539" s="1"/>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row>
    <row r="540">
      <c r="A540" s="1"/>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row>
    <row r="541">
      <c r="A541" s="1"/>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row>
    <row r="542">
      <c r="A542" s="1"/>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row>
    <row r="543">
      <c r="A543" s="1"/>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row>
    <row r="544">
      <c r="A544" s="1"/>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row>
    <row r="545">
      <c r="A545" s="1"/>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row>
    <row r="546">
      <c r="A546" s="1"/>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row>
    <row r="547">
      <c r="A547" s="1"/>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row>
    <row r="548">
      <c r="A548" s="1"/>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row>
    <row r="549">
      <c r="A549" s="1"/>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row>
    <row r="550">
      <c r="A550" s="1"/>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row>
    <row r="551">
      <c r="A551" s="1"/>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row>
    <row r="552">
      <c r="A552" s="1"/>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row>
    <row r="553">
      <c r="A553" s="1"/>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row>
    <row r="554">
      <c r="A554" s="1"/>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row>
    <row r="555">
      <c r="A555" s="1"/>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row>
    <row r="556">
      <c r="A556" s="1"/>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row>
    <row r="557">
      <c r="A557" s="1"/>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row>
    <row r="558">
      <c r="A558" s="1"/>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row>
    <row r="559">
      <c r="A559" s="1"/>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row>
    <row r="560">
      <c r="A560" s="1"/>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row>
    <row r="561">
      <c r="A561" s="1"/>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row>
    <row r="562">
      <c r="A562" s="1"/>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row>
    <row r="563">
      <c r="A563" s="1"/>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row>
    <row r="564">
      <c r="A564" s="1"/>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row>
    <row r="565">
      <c r="A565" s="1"/>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row>
    <row r="566">
      <c r="A566" s="1"/>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row>
    <row r="567">
      <c r="A567" s="1"/>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row>
    <row r="568">
      <c r="A568" s="1"/>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row>
    <row r="569">
      <c r="A569" s="1"/>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row>
    <row r="570">
      <c r="A570" s="1"/>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row>
    <row r="571">
      <c r="A571" s="1"/>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row>
    <row r="572">
      <c r="A572" s="1"/>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row>
    <row r="573">
      <c r="A573" s="1"/>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row>
    <row r="574">
      <c r="A574" s="1"/>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row>
    <row r="575">
      <c r="A575" s="1"/>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row>
    <row r="576">
      <c r="A576" s="1"/>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row>
    <row r="577">
      <c r="A577" s="1"/>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row>
    <row r="578">
      <c r="A578" s="1"/>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row>
    <row r="579">
      <c r="A579" s="1"/>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row>
    <row r="580">
      <c r="A580" s="1"/>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row>
    <row r="581">
      <c r="A581" s="1"/>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row>
    <row r="582">
      <c r="A582" s="1"/>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row>
    <row r="583">
      <c r="A583" s="1"/>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row>
    <row r="584">
      <c r="A584" s="1"/>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row>
    <row r="585">
      <c r="A585" s="1"/>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row>
    <row r="586">
      <c r="A586" s="1"/>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row>
    <row r="587">
      <c r="A587" s="1"/>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row>
    <row r="588">
      <c r="A588" s="1"/>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row>
    <row r="589">
      <c r="A589" s="1"/>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row>
    <row r="590">
      <c r="A590" s="1"/>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row>
    <row r="591">
      <c r="A591" s="1"/>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row>
    <row r="592">
      <c r="A592" s="1"/>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row>
    <row r="593">
      <c r="A593" s="1"/>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row>
    <row r="594">
      <c r="A594" s="1"/>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row>
    <row r="595">
      <c r="A595" s="1"/>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row>
    <row r="596">
      <c r="A596" s="1"/>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row>
    <row r="597">
      <c r="A597" s="1"/>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row>
    <row r="598">
      <c r="A598" s="1"/>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row>
    <row r="599">
      <c r="A599" s="1"/>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row>
    <row r="600">
      <c r="A600" s="1"/>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row>
    <row r="601">
      <c r="A601" s="1"/>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row>
    <row r="602">
      <c r="A602" s="1"/>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row>
    <row r="603">
      <c r="A603" s="1"/>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row>
    <row r="604">
      <c r="A604" s="1"/>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row>
    <row r="605">
      <c r="A605" s="1"/>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row>
    <row r="606">
      <c r="A606" s="1"/>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row>
    <row r="607">
      <c r="A607" s="1"/>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row>
    <row r="608">
      <c r="A608" s="1"/>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row>
    <row r="609">
      <c r="A609" s="1"/>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row>
    <row r="610">
      <c r="A610" s="1"/>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row>
    <row r="611">
      <c r="A611" s="1"/>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row>
    <row r="612">
      <c r="A612" s="1"/>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row>
    <row r="613">
      <c r="A613" s="1"/>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row>
    <row r="614">
      <c r="A614" s="1"/>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row>
    <row r="615">
      <c r="A615" s="1"/>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row>
    <row r="616">
      <c r="A616" s="1"/>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row>
    <row r="617">
      <c r="A617" s="1"/>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row>
    <row r="618">
      <c r="A618" s="1"/>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row>
    <row r="619">
      <c r="A619" s="1"/>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row>
    <row r="620">
      <c r="A620" s="1"/>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row>
    <row r="621">
      <c r="A621" s="1"/>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row>
    <row r="622">
      <c r="A622" s="1"/>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row>
    <row r="623">
      <c r="A623" s="1"/>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row>
    <row r="624">
      <c r="A624" s="1"/>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row>
    <row r="625">
      <c r="A625" s="1"/>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row>
    <row r="626">
      <c r="A626" s="1"/>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row>
    <row r="627">
      <c r="A627" s="1"/>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row>
    <row r="628">
      <c r="A628" s="1"/>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row>
    <row r="629">
      <c r="A629" s="1"/>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row>
    <row r="630">
      <c r="A630" s="1"/>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row>
    <row r="631">
      <c r="A631" s="1"/>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row>
    <row r="632">
      <c r="A632" s="1"/>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row>
    <row r="633">
      <c r="A633" s="1"/>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row>
    <row r="634">
      <c r="A634" s="1"/>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row>
    <row r="635">
      <c r="A635" s="1"/>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row>
    <row r="636">
      <c r="A636" s="1"/>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row>
    <row r="637">
      <c r="A637" s="1"/>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row>
    <row r="638">
      <c r="A638" s="1"/>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row>
    <row r="639">
      <c r="A639" s="1"/>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row>
    <row r="640">
      <c r="A640" s="1"/>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row>
    <row r="641">
      <c r="A641" s="1"/>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row>
    <row r="642">
      <c r="A642" s="1"/>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row>
    <row r="643">
      <c r="A643" s="1"/>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row>
    <row r="644">
      <c r="A644" s="1"/>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row>
    <row r="645">
      <c r="A645" s="1"/>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row>
    <row r="646">
      <c r="A646" s="1"/>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row>
    <row r="647">
      <c r="A647" s="1"/>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row>
    <row r="648">
      <c r="A648" s="1"/>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row>
    <row r="649">
      <c r="A649" s="1"/>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row>
    <row r="650">
      <c r="A650" s="1"/>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row>
    <row r="651">
      <c r="A651" s="1"/>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row>
    <row r="652">
      <c r="A652" s="1"/>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row>
    <row r="653">
      <c r="A653" s="1"/>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row>
    <row r="654">
      <c r="A654" s="1"/>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row>
    <row r="655">
      <c r="A655" s="1"/>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row>
    <row r="656">
      <c r="A656" s="1"/>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row>
    <row r="657">
      <c r="A657" s="1"/>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row>
    <row r="658">
      <c r="A658" s="1"/>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row>
    <row r="659">
      <c r="A659" s="1"/>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row>
    <row r="660">
      <c r="A660" s="1"/>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row>
    <row r="661">
      <c r="A661" s="1"/>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row>
    <row r="662">
      <c r="A662" s="1"/>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row>
    <row r="663">
      <c r="A663" s="1"/>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row>
    <row r="664">
      <c r="A664" s="1"/>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row>
    <row r="665">
      <c r="A665" s="1"/>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row>
    <row r="666">
      <c r="A666" s="1"/>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row>
    <row r="667">
      <c r="A667" s="1"/>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row>
    <row r="668">
      <c r="A668" s="1"/>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row>
    <row r="669">
      <c r="A669" s="1"/>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row>
    <row r="670">
      <c r="A670" s="1"/>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row>
    <row r="671">
      <c r="A671" s="1"/>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row>
    <row r="672">
      <c r="A672" s="1"/>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row>
    <row r="673">
      <c r="A673" s="1"/>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row>
    <row r="674">
      <c r="A674" s="1"/>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row>
    <row r="675">
      <c r="A675" s="1"/>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row>
    <row r="676">
      <c r="A676" s="1"/>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row>
    <row r="677">
      <c r="A677" s="1"/>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row>
    <row r="678">
      <c r="A678" s="1"/>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row>
    <row r="679">
      <c r="A679" s="1"/>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row>
    <row r="680">
      <c r="A680" s="1"/>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row>
    <row r="681">
      <c r="A681" s="1"/>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row>
    <row r="682">
      <c r="A682" s="1"/>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row>
    <row r="683">
      <c r="A683" s="1"/>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row>
    <row r="684">
      <c r="A684" s="1"/>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row>
    <row r="685">
      <c r="A685" s="1"/>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row>
    <row r="686">
      <c r="A686" s="1"/>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row>
    <row r="687">
      <c r="A687" s="1"/>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row>
    <row r="688">
      <c r="A688" s="1"/>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row>
    <row r="689">
      <c r="A689" s="1"/>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row>
    <row r="690">
      <c r="A690" s="1"/>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row>
    <row r="691">
      <c r="A691" s="1"/>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row>
    <row r="692">
      <c r="A692" s="1"/>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row>
    <row r="693">
      <c r="A693" s="1"/>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row>
    <row r="694">
      <c r="A694" s="1"/>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row>
    <row r="695">
      <c r="A695" s="1"/>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row>
    <row r="696">
      <c r="A696" s="1"/>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row>
    <row r="697">
      <c r="A697" s="1"/>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row>
    <row r="698">
      <c r="A698" s="1"/>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row>
    <row r="699">
      <c r="A699" s="1"/>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row>
    <row r="700">
      <c r="A700" s="1"/>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row>
    <row r="701">
      <c r="A701" s="1"/>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row>
    <row r="702">
      <c r="A702" s="1"/>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row>
    <row r="703">
      <c r="A703" s="1"/>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row>
    <row r="704">
      <c r="A704" s="1"/>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row>
    <row r="705">
      <c r="A705" s="1"/>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row>
    <row r="706">
      <c r="A706" s="1"/>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row>
    <row r="707">
      <c r="A707" s="1"/>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row>
    <row r="708">
      <c r="A708" s="1"/>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row>
    <row r="709">
      <c r="A709" s="1"/>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row>
    <row r="710">
      <c r="A710" s="1"/>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row>
    <row r="711">
      <c r="A711" s="1"/>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row>
    <row r="712">
      <c r="A712" s="1"/>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row>
    <row r="713">
      <c r="A713" s="1"/>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row>
    <row r="714">
      <c r="A714" s="1"/>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row>
    <row r="715">
      <c r="A715" s="1"/>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row>
    <row r="716">
      <c r="A716" s="1"/>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row>
    <row r="717">
      <c r="A717" s="1"/>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row>
    <row r="718">
      <c r="A718" s="1"/>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row>
    <row r="719">
      <c r="A719" s="1"/>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row>
    <row r="720">
      <c r="A720" s="1"/>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row>
    <row r="721">
      <c r="A721" s="1"/>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row>
    <row r="722">
      <c r="A722" s="1"/>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row>
    <row r="723">
      <c r="A723" s="1"/>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row>
    <row r="724">
      <c r="A724" s="1"/>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row>
    <row r="725">
      <c r="A725" s="1"/>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row>
    <row r="726">
      <c r="A726" s="1"/>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row>
    <row r="727">
      <c r="A727" s="1"/>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row>
    <row r="728">
      <c r="A728" s="1"/>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row>
    <row r="729">
      <c r="A729" s="1"/>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row>
    <row r="730">
      <c r="A730" s="1"/>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row>
    <row r="731">
      <c r="A731" s="1"/>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row>
    <row r="732">
      <c r="A732" s="1"/>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row>
    <row r="733">
      <c r="A733" s="1"/>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row>
    <row r="734">
      <c r="A734" s="1"/>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row>
    <row r="735">
      <c r="A735" s="1"/>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row>
    <row r="736">
      <c r="A736" s="1"/>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row>
    <row r="737">
      <c r="A737" s="1"/>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row>
    <row r="738">
      <c r="A738" s="1"/>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row>
    <row r="739">
      <c r="A739" s="1"/>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row>
    <row r="740">
      <c r="A740" s="1"/>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row>
    <row r="741">
      <c r="A741" s="1"/>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row>
    <row r="742">
      <c r="A742" s="1"/>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row>
    <row r="743">
      <c r="A743" s="1"/>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row>
    <row r="744">
      <c r="A744" s="1"/>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row>
    <row r="745">
      <c r="A745" s="1"/>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row>
    <row r="746">
      <c r="A746" s="1"/>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row>
    <row r="747">
      <c r="A747" s="1"/>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row>
    <row r="748">
      <c r="A748" s="1"/>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row>
    <row r="749">
      <c r="A749" s="1"/>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row>
    <row r="750">
      <c r="A750" s="1"/>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row>
    <row r="751">
      <c r="A751" s="1"/>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row>
    <row r="752">
      <c r="A752" s="1"/>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row>
    <row r="753">
      <c r="A753" s="1"/>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row>
    <row r="754">
      <c r="A754" s="1"/>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row>
    <row r="755">
      <c r="A755" s="1"/>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row>
    <row r="756">
      <c r="A756" s="1"/>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row>
    <row r="757">
      <c r="A757" s="1"/>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row>
    <row r="758">
      <c r="A758" s="1"/>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row>
    <row r="759">
      <c r="A759" s="1"/>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row>
    <row r="760">
      <c r="A760" s="1"/>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row>
    <row r="761">
      <c r="A761" s="1"/>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row>
    <row r="762">
      <c r="A762" s="1"/>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row>
    <row r="763">
      <c r="A763" s="1"/>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row>
    <row r="764">
      <c r="A764" s="1"/>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row>
    <row r="765">
      <c r="A765" s="1"/>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row>
    <row r="766">
      <c r="A766" s="1"/>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row>
    <row r="767">
      <c r="A767" s="1"/>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row>
    <row r="768">
      <c r="A768" s="1"/>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row>
    <row r="769">
      <c r="A769" s="1"/>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row>
    <row r="770">
      <c r="A770" s="1"/>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row>
    <row r="771">
      <c r="A771" s="1"/>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row>
    <row r="772">
      <c r="A772" s="1"/>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row>
    <row r="773">
      <c r="A773" s="1"/>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row>
    <row r="774">
      <c r="A774" s="1"/>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row>
    <row r="775">
      <c r="A775" s="1"/>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row>
    <row r="776">
      <c r="A776" s="1"/>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row>
    <row r="777">
      <c r="A777" s="1"/>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row>
    <row r="778">
      <c r="A778" s="1"/>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row>
    <row r="779">
      <c r="A779" s="1"/>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row>
    <row r="780">
      <c r="A780" s="1"/>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row>
    <row r="781">
      <c r="A781" s="1"/>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row>
    <row r="782">
      <c r="A782" s="1"/>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row>
    <row r="783">
      <c r="A783" s="1"/>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row>
    <row r="784">
      <c r="A784" s="1"/>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row>
    <row r="785">
      <c r="A785" s="1"/>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row>
    <row r="786">
      <c r="A786" s="1"/>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row>
    <row r="787">
      <c r="A787" s="1"/>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row>
    <row r="788">
      <c r="A788" s="1"/>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row>
    <row r="789">
      <c r="A789" s="1"/>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row>
    <row r="790">
      <c r="A790" s="1"/>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row>
    <row r="791">
      <c r="A791" s="1"/>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row>
    <row r="792">
      <c r="A792" s="1"/>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row>
    <row r="793">
      <c r="A793" s="1"/>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row>
    <row r="794">
      <c r="A794" s="1"/>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row>
    <row r="795">
      <c r="A795" s="1"/>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row>
    <row r="796">
      <c r="A796" s="1"/>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row>
    <row r="797">
      <c r="A797" s="1"/>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row>
    <row r="798">
      <c r="A798" s="1"/>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row>
    <row r="799">
      <c r="A799" s="1"/>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row>
    <row r="800">
      <c r="A800" s="1"/>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row>
    <row r="801">
      <c r="A801" s="1"/>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row>
    <row r="802">
      <c r="A802" s="1"/>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row>
    <row r="803">
      <c r="A803" s="1"/>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row>
    <row r="804">
      <c r="A804" s="1"/>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row>
    <row r="805">
      <c r="A805" s="1"/>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row>
    <row r="806">
      <c r="A806" s="1"/>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row>
    <row r="807">
      <c r="A807" s="1"/>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row>
    <row r="808">
      <c r="A808" s="1"/>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row>
    <row r="809">
      <c r="A809" s="1"/>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row>
    <row r="810">
      <c r="A810" s="1"/>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row>
    <row r="811">
      <c r="A811" s="1"/>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row>
    <row r="812">
      <c r="A812" s="1"/>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row>
    <row r="813">
      <c r="A813" s="1"/>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row>
    <row r="814">
      <c r="A814" s="1"/>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row>
    <row r="815">
      <c r="A815" s="1"/>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row>
    <row r="816">
      <c r="A816" s="1"/>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row>
    <row r="817">
      <c r="A817" s="1"/>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row>
    <row r="818">
      <c r="A818" s="1"/>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row>
    <row r="819">
      <c r="A819" s="1"/>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row>
    <row r="820">
      <c r="A820" s="1"/>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row>
    <row r="821">
      <c r="A821" s="1"/>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row>
    <row r="822">
      <c r="A822" s="1"/>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row>
    <row r="823">
      <c r="A823" s="1"/>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row>
    <row r="824">
      <c r="A824" s="1"/>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row>
    <row r="825">
      <c r="A825" s="1"/>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row>
    <row r="826">
      <c r="A826" s="1"/>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row>
    <row r="827">
      <c r="A827" s="1"/>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row>
    <row r="828">
      <c r="A828" s="1"/>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row>
    <row r="829">
      <c r="A829" s="1"/>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row>
    <row r="830">
      <c r="A830" s="1"/>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row>
    <row r="831">
      <c r="A831" s="1"/>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row>
    <row r="832">
      <c r="A832" s="1"/>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row>
    <row r="833">
      <c r="A833" s="1"/>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row>
    <row r="834">
      <c r="A834" s="1"/>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row>
    <row r="835">
      <c r="A835" s="1"/>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row>
    <row r="836">
      <c r="A836" s="1"/>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row>
    <row r="837">
      <c r="A837" s="1"/>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row>
    <row r="838">
      <c r="A838" s="1"/>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row>
    <row r="839">
      <c r="A839" s="1"/>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row>
    <row r="840">
      <c r="A840" s="1"/>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row>
    <row r="841">
      <c r="A841" s="1"/>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row>
    <row r="842">
      <c r="A842" s="1"/>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row>
    <row r="843">
      <c r="A843" s="1"/>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row>
    <row r="844">
      <c r="A844" s="1"/>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row>
    <row r="845">
      <c r="A845" s="1"/>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row>
    <row r="846">
      <c r="A846" s="1"/>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row>
    <row r="847">
      <c r="A847" s="1"/>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row>
    <row r="848">
      <c r="A848" s="1"/>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row>
    <row r="849">
      <c r="A849" s="1"/>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row>
    <row r="850">
      <c r="A850" s="1"/>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row>
    <row r="851">
      <c r="A851" s="1"/>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row>
    <row r="852">
      <c r="A852" s="1"/>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row>
    <row r="853">
      <c r="A853" s="1"/>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row>
    <row r="854">
      <c r="A854" s="1"/>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row>
    <row r="855">
      <c r="A855" s="1"/>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row>
    <row r="856">
      <c r="A856" s="1"/>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row>
    <row r="857">
      <c r="A857" s="1"/>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row>
    <row r="858">
      <c r="A858" s="1"/>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row>
    <row r="859">
      <c r="A859" s="1"/>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row>
    <row r="860">
      <c r="A860" s="1"/>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row>
    <row r="861">
      <c r="A861" s="1"/>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row>
    <row r="862">
      <c r="A862" s="1"/>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row>
    <row r="863">
      <c r="A863" s="1"/>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row>
    <row r="864">
      <c r="A864" s="1"/>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row>
    <row r="865">
      <c r="A865" s="1"/>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row>
    <row r="866">
      <c r="A866" s="1"/>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row>
    <row r="867">
      <c r="A867" s="1"/>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row>
    <row r="868">
      <c r="A868" s="1"/>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row>
    <row r="869">
      <c r="A869" s="1"/>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row>
    <row r="870">
      <c r="A870" s="1"/>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row>
    <row r="871">
      <c r="A871" s="1"/>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row>
    <row r="872">
      <c r="A872" s="1"/>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row>
    <row r="873">
      <c r="A873" s="1"/>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row>
    <row r="874">
      <c r="A874" s="1"/>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row>
    <row r="875">
      <c r="A875" s="1"/>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row>
    <row r="876">
      <c r="A876" s="1"/>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row>
    <row r="877">
      <c r="A877" s="1"/>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row>
    <row r="878">
      <c r="A878" s="1"/>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row>
    <row r="879">
      <c r="A879" s="1"/>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row>
    <row r="880">
      <c r="A880" s="1"/>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row>
    <row r="881">
      <c r="A881" s="1"/>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row>
    <row r="882">
      <c r="A882" s="1"/>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row>
    <row r="883">
      <c r="A883" s="1"/>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row>
    <row r="884">
      <c r="A884" s="1"/>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row>
    <row r="885">
      <c r="A885" s="1"/>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row>
    <row r="886">
      <c r="A886" s="1"/>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row>
    <row r="887">
      <c r="A887" s="1"/>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row>
    <row r="888">
      <c r="A888" s="1"/>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row>
    <row r="889">
      <c r="A889" s="1"/>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row>
    <row r="890">
      <c r="A890" s="1"/>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row>
    <row r="891">
      <c r="A891" s="1"/>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row>
    <row r="892">
      <c r="A892" s="1"/>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row>
    <row r="893">
      <c r="A893" s="1"/>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row>
    <row r="894">
      <c r="A894" s="1"/>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row>
    <row r="895">
      <c r="A895" s="1"/>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row>
    <row r="896">
      <c r="A896" s="1"/>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row>
    <row r="897">
      <c r="A897" s="1"/>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row>
    <row r="898">
      <c r="A898" s="1"/>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row>
    <row r="899">
      <c r="A899" s="1"/>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row>
    <row r="900">
      <c r="A900" s="1"/>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row>
    <row r="901">
      <c r="A901" s="1"/>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row>
    <row r="902">
      <c r="A902" s="1"/>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row>
    <row r="903">
      <c r="A903" s="1"/>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row>
    <row r="904">
      <c r="A904" s="1"/>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row>
    <row r="905">
      <c r="A905" s="1"/>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row>
    <row r="906">
      <c r="A906" s="1"/>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row>
    <row r="907">
      <c r="A907" s="1"/>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row>
    <row r="908">
      <c r="A908" s="1"/>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row>
    <row r="909">
      <c r="A909" s="1"/>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row>
    <row r="910">
      <c r="A910" s="1"/>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row>
    <row r="911">
      <c r="A911" s="1"/>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row>
    <row r="912">
      <c r="A912" s="1"/>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row>
    <row r="913">
      <c r="A913" s="1"/>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row>
    <row r="914">
      <c r="A914" s="1"/>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row>
    <row r="915">
      <c r="A915" s="1"/>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row>
    <row r="916">
      <c r="A916" s="1"/>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row>
    <row r="917">
      <c r="A917" s="1"/>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row>
    <row r="918">
      <c r="A918" s="1"/>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row>
    <row r="919">
      <c r="A919" s="1"/>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row>
    <row r="920">
      <c r="A920" s="1"/>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row>
    <row r="921">
      <c r="A921" s="1"/>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row>
    <row r="922">
      <c r="A922" s="1"/>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row>
    <row r="923">
      <c r="A923" s="1"/>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row>
    <row r="924">
      <c r="A924" s="1"/>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row>
    <row r="925">
      <c r="A925" s="1"/>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row>
    <row r="926">
      <c r="A926" s="1"/>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row>
    <row r="927">
      <c r="A927" s="1"/>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row>
    <row r="928">
      <c r="A928" s="1"/>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row>
    <row r="929">
      <c r="A929" s="1"/>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row>
    <row r="930">
      <c r="A930" s="1"/>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row>
  </sheetData>
  <drawing r:id="rId1"/>
</worksheet>
</file>